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4.xml" ContentType="application/vnd.openxmlformats-officedocument.drawing+xml"/>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drawings/drawing7.xml" ContentType="application/vnd.openxmlformats-officedocument.drawing+xml"/>
  <Override PartName="/xl/embeddings/oleObject12.bin" ContentType="application/vnd.openxmlformats-officedocument.oleObject"/>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13.bin" ContentType="application/vnd.openxmlformats-officedocument.oleObject"/>
  <Override PartName="/xl/drawings/drawing12.xml" ContentType="application/vnd.openxmlformats-officedocument.drawing+xml"/>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drawings/drawing13.xml" ContentType="application/vnd.openxmlformats-officedocument.drawing+xml"/>
  <Override PartName="/xl/embeddings/oleObject19.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activeTab="4"/>
  </bookViews>
  <sheets>
    <sheet name="W.Demand" sheetId="1" r:id="rId1"/>
    <sheet name="Water Standards" sheetId="2" r:id="rId2"/>
    <sheet name="Comparision &amp; Treatment" sheetId="3" r:id="rId3"/>
    <sheet name="Intake Design" sheetId="4" r:id="rId4"/>
    <sheet name="Pen Stock &amp; Bell Mouth" sheetId="5" r:id="rId5"/>
    <sheet name="Gravity Main" sheetId="6" r:id="rId6"/>
    <sheet name="Jack Well" sheetId="7" r:id="rId7"/>
    <sheet name="Pumping Sys." sheetId="8" r:id="rId8"/>
    <sheet name="Rising Main" sheetId="9" r:id="rId9"/>
    <sheet name="Aeration Unit" sheetId="10" r:id="rId10"/>
    <sheet name="Alum Quantity" sheetId="11" r:id="rId11"/>
    <sheet name="Lime-Soda Process" sheetId="12" r:id="rId12"/>
    <sheet name="Rapid mix unit" sheetId="13" r:id="rId13"/>
    <sheet name="Clariflocculator" sheetId="14" r:id="rId14"/>
    <sheet name="Rapid gravity Filter" sheetId="15" r:id="rId15"/>
    <sheet name="Disinfection Unit" sheetId="16" r:id="rId16"/>
  </sheets>
  <definedNames>
    <definedName name="_xlnm.Print_Area" localSheetId="9">'Aeration Unit'!$A$1:$J$47</definedName>
    <definedName name="_xlnm.Print_Area" localSheetId="10">'Alum Quantity'!$A$1:$J$34</definedName>
    <definedName name="_xlnm.Print_Area" localSheetId="13">Clariflocculator!$A$1:$K$149</definedName>
    <definedName name="_xlnm.Print_Area" localSheetId="2">'Comparision &amp; Treatment'!$A$1:$K$14</definedName>
    <definedName name="_xlnm.Print_Area" localSheetId="15">'Disinfection Unit'!$A$1:$J$28</definedName>
    <definedName name="_xlnm.Print_Area" localSheetId="5">'Gravity Main'!$A$1:$L$47</definedName>
    <definedName name="_xlnm.Print_Area" localSheetId="3">'Intake Design'!$A$1:$J$39</definedName>
    <definedName name="_xlnm.Print_Area" localSheetId="6">'Jack Well'!$A$1:$J$76</definedName>
    <definedName name="_xlnm.Print_Area" localSheetId="11">'Lime-Soda Process'!$A$1:$M$97</definedName>
    <definedName name="_xlnm.Print_Area" localSheetId="4">'Pen Stock &amp; Bell Mouth'!$A$1:$J$101</definedName>
    <definedName name="_xlnm.Print_Area" localSheetId="7">'Pumping Sys.'!$A$1:$K$70</definedName>
    <definedName name="_xlnm.Print_Area" localSheetId="14">'Rapid gravity Filter'!$A$1:$K$155</definedName>
    <definedName name="_xlnm.Print_Area" localSheetId="8">'Rising Main'!$A$1:$J$31</definedName>
    <definedName name="_xlnm.Print_Area" localSheetId="0">W.Demand!$A$1:$K$34</definedName>
    <definedName name="_xlnm.Print_Area" localSheetId="1">'Water Standards'!$A$1:$K$37</definedName>
  </definedNames>
  <calcPr calcId="145621"/>
</workbook>
</file>

<file path=xl/calcChain.xml><?xml version="1.0" encoding="utf-8"?>
<calcChain xmlns="http://schemas.openxmlformats.org/spreadsheetml/2006/main">
  <c r="E21" i="7" l="1"/>
  <c r="E15" i="7"/>
  <c r="E39" i="6"/>
  <c r="D51" i="15" l="1"/>
  <c r="H43" i="15"/>
  <c r="I43" i="15"/>
  <c r="I42" i="15"/>
  <c r="H106" i="15"/>
  <c r="I105" i="15"/>
  <c r="D106" i="15"/>
  <c r="C106" i="15"/>
  <c r="F97" i="15"/>
  <c r="G90" i="15"/>
  <c r="I88" i="15"/>
  <c r="E73" i="14"/>
  <c r="J69" i="14"/>
  <c r="G36" i="14"/>
  <c r="D84" i="14"/>
  <c r="H99" i="14"/>
  <c r="D64" i="12"/>
  <c r="K64" i="12"/>
  <c r="J88" i="12"/>
  <c r="B38" i="12"/>
  <c r="F23" i="11"/>
  <c r="L40" i="12"/>
  <c r="K40" i="12"/>
  <c r="F21" i="13"/>
  <c r="F20" i="13"/>
  <c r="F19" i="13"/>
  <c r="I74" i="12"/>
  <c r="G76" i="12"/>
  <c r="I33" i="11"/>
  <c r="J33" i="1" l="1"/>
  <c r="E27" i="1"/>
  <c r="I27" i="16"/>
  <c r="H27" i="16"/>
  <c r="H26" i="16"/>
  <c r="J20" i="16"/>
  <c r="I21" i="16"/>
  <c r="I20" i="16"/>
  <c r="H22" i="16"/>
  <c r="G22" i="16"/>
  <c r="H20" i="16"/>
  <c r="G20" i="16"/>
  <c r="I19" i="16"/>
  <c r="H19" i="16"/>
  <c r="G19" i="16"/>
  <c r="C19" i="16"/>
  <c r="G18" i="16"/>
  <c r="J17" i="16"/>
  <c r="I16" i="16"/>
  <c r="G16" i="16"/>
  <c r="H15" i="16"/>
  <c r="H12" i="16"/>
  <c r="G12" i="16"/>
  <c r="G11" i="16"/>
  <c r="G10" i="16"/>
  <c r="G9" i="16"/>
  <c r="G8" i="16"/>
  <c r="I152" i="15"/>
  <c r="H151" i="15"/>
  <c r="H150" i="15"/>
  <c r="I149" i="15"/>
  <c r="H149" i="15"/>
  <c r="H148" i="15"/>
  <c r="H147" i="15"/>
  <c r="H146" i="15"/>
  <c r="H145" i="15"/>
  <c r="H144" i="15"/>
  <c r="H143" i="15"/>
  <c r="H142" i="15"/>
  <c r="H141" i="15"/>
  <c r="H140" i="15"/>
  <c r="I139" i="15"/>
  <c r="H139" i="15"/>
  <c r="C35" i="15"/>
  <c r="H138" i="15"/>
  <c r="G135" i="15"/>
  <c r="J134" i="15"/>
  <c r="I134" i="15"/>
  <c r="H134" i="15"/>
  <c r="G134" i="15"/>
  <c r="G133" i="15"/>
  <c r="G132" i="15"/>
  <c r="E130" i="15"/>
  <c r="I129" i="15"/>
  <c r="H129" i="15"/>
  <c r="F129" i="15"/>
  <c r="E129" i="15"/>
  <c r="M97" i="15"/>
  <c r="G58" i="15"/>
  <c r="E59" i="14"/>
  <c r="H125" i="15"/>
  <c r="J122" i="15"/>
  <c r="E125" i="15"/>
  <c r="C125" i="15"/>
  <c r="I122" i="15"/>
  <c r="H123" i="15"/>
  <c r="G123" i="15"/>
  <c r="G122" i="15"/>
  <c r="H121" i="15"/>
  <c r="G121" i="15"/>
  <c r="E121" i="15"/>
  <c r="D118" i="15"/>
  <c r="H116" i="15"/>
  <c r="G117" i="15"/>
  <c r="G116" i="15"/>
  <c r="I114" i="15"/>
  <c r="H114" i="15"/>
  <c r="G115" i="15"/>
  <c r="G114" i="15"/>
  <c r="D112" i="15"/>
  <c r="G111" i="15"/>
  <c r="I110" i="15"/>
  <c r="H110" i="15"/>
  <c r="G110" i="15"/>
  <c r="G109" i="15"/>
  <c r="G115" i="14"/>
  <c r="H104" i="15"/>
  <c r="H103" i="15"/>
  <c r="I101" i="15"/>
  <c r="H101" i="15"/>
  <c r="G102" i="15"/>
  <c r="G101" i="15"/>
  <c r="H100" i="15"/>
  <c r="G100" i="15"/>
  <c r="H98" i="15"/>
  <c r="J98" i="15"/>
  <c r="G99" i="15"/>
  <c r="G95" i="15"/>
  <c r="F96" i="15"/>
  <c r="E95" i="15"/>
  <c r="D96" i="15"/>
  <c r="H95" i="15" s="1"/>
  <c r="G103" i="15" s="1"/>
  <c r="I103" i="15" s="1"/>
  <c r="J88" i="15" l="1"/>
  <c r="G88" i="15"/>
  <c r="N12" i="15"/>
  <c r="M88" i="15"/>
  <c r="I86" i="15"/>
  <c r="H86" i="15"/>
  <c r="G86" i="15"/>
  <c r="G87" i="15"/>
  <c r="G85" i="15"/>
  <c r="F84" i="15"/>
  <c r="I82" i="15"/>
  <c r="H82" i="15"/>
  <c r="G82" i="15"/>
  <c r="G81" i="15"/>
  <c r="G79" i="15"/>
  <c r="G80" i="15"/>
  <c r="I81" i="15"/>
  <c r="H81" i="15"/>
  <c r="I79" i="15"/>
  <c r="H79" i="15"/>
  <c r="G78" i="15"/>
  <c r="I77" i="15"/>
  <c r="I75" i="15"/>
  <c r="H75" i="15"/>
  <c r="G75" i="15"/>
  <c r="D70" i="15"/>
  <c r="C69" i="15"/>
  <c r="G74" i="15"/>
  <c r="H73" i="15"/>
  <c r="G73" i="15"/>
  <c r="L68" i="15"/>
  <c r="H42" i="15"/>
  <c r="G42" i="15"/>
  <c r="G40" i="15"/>
  <c r="G38" i="15"/>
  <c r="E38" i="15"/>
  <c r="D68" i="15"/>
  <c r="C68" i="15"/>
  <c r="G65" i="15"/>
  <c r="H65" i="15"/>
  <c r="D64" i="15"/>
  <c r="G63" i="15"/>
  <c r="E63" i="15"/>
  <c r="G60" i="15"/>
  <c r="G59" i="15"/>
  <c r="H57" i="15"/>
  <c r="G57" i="15"/>
  <c r="D58" i="15"/>
  <c r="D57" i="15"/>
  <c r="C57" i="15"/>
  <c r="D55" i="15"/>
  <c r="D54" i="15"/>
  <c r="D53" i="15"/>
  <c r="D52" i="15"/>
  <c r="G48" i="15"/>
  <c r="J133" i="14" l="1"/>
  <c r="C43" i="15" l="1"/>
  <c r="G41" i="15"/>
  <c r="G39" i="15"/>
  <c r="H36" i="15"/>
  <c r="G36" i="15"/>
  <c r="J33" i="15"/>
  <c r="G26" i="15"/>
  <c r="G23" i="15"/>
  <c r="G21" i="15"/>
  <c r="E17" i="15"/>
  <c r="G16" i="15"/>
  <c r="H15" i="15"/>
  <c r="G15" i="15"/>
  <c r="E13" i="15"/>
  <c r="H12" i="15"/>
  <c r="G12" i="15"/>
  <c r="E11" i="15"/>
  <c r="G10" i="15"/>
  <c r="H9" i="15"/>
  <c r="G9" i="15"/>
  <c r="H5" i="15"/>
  <c r="G5" i="15"/>
  <c r="G8" i="15"/>
  <c r="H7" i="15"/>
  <c r="H148" i="14"/>
  <c r="H147" i="14"/>
  <c r="H146" i="14"/>
  <c r="H145" i="14"/>
  <c r="H144" i="14"/>
  <c r="H142" i="14"/>
  <c r="H141" i="14"/>
  <c r="H140" i="14"/>
  <c r="H139" i="14"/>
  <c r="H138" i="14"/>
  <c r="H129" i="14"/>
  <c r="H130" i="14" s="1"/>
  <c r="M127" i="14"/>
  <c r="O129" i="14"/>
  <c r="M129" i="14"/>
  <c r="N127" i="14"/>
  <c r="J42" i="15" l="1"/>
  <c r="O131" i="14"/>
  <c r="M131" i="14" s="1"/>
  <c r="J130" i="14"/>
  <c r="H132" i="14" s="1"/>
  <c r="H122" i="14"/>
  <c r="H131" i="14" s="1"/>
  <c r="H118" i="14" l="1"/>
  <c r="O117" i="14"/>
  <c r="L115" i="14"/>
  <c r="H114" i="14"/>
  <c r="L114" i="14"/>
  <c r="G114" i="14"/>
  <c r="I114" i="14" s="1"/>
  <c r="B114" i="14"/>
  <c r="J110" i="14"/>
  <c r="E111" i="14" s="1"/>
  <c r="H108" i="14"/>
  <c r="D107" i="14"/>
  <c r="F105" i="14"/>
  <c r="G103" i="14"/>
  <c r="E103" i="14"/>
  <c r="C103" i="14"/>
  <c r="J99" i="14"/>
  <c r="I99" i="14"/>
  <c r="D90" i="14"/>
  <c r="G49" i="14"/>
  <c r="G50" i="14"/>
  <c r="N40" i="14"/>
  <c r="N33" i="14"/>
  <c r="G117" i="14" l="1"/>
  <c r="G64" i="14"/>
  <c r="E60" i="14"/>
  <c r="G72" i="14" s="1"/>
  <c r="D125" i="14" l="1"/>
  <c r="E125" i="14"/>
  <c r="G101" i="14"/>
  <c r="J82" i="14"/>
  <c r="I112" i="14"/>
  <c r="E99" i="14"/>
  <c r="H82" i="14"/>
  <c r="G54" i="14"/>
  <c r="C84" i="14"/>
  <c r="H63" i="14"/>
  <c r="G43" i="14"/>
  <c r="H46" i="14" s="1"/>
  <c r="H20" i="11"/>
  <c r="G20" i="11"/>
  <c r="G39" i="14"/>
  <c r="G38" i="14"/>
  <c r="G37" i="14"/>
  <c r="G34" i="14"/>
  <c r="G33" i="14"/>
  <c r="H32" i="14"/>
  <c r="G65" i="14" s="1"/>
  <c r="G67" i="14" s="1"/>
  <c r="G31" i="14"/>
  <c r="G121" i="14" s="1"/>
  <c r="H123" i="14" s="1"/>
  <c r="H28" i="14"/>
  <c r="G26" i="14"/>
  <c r="G24" i="14"/>
  <c r="G22" i="14"/>
  <c r="G91" i="14" s="1"/>
  <c r="I92" i="14" l="1"/>
  <c r="G108" i="14"/>
  <c r="H92" i="14"/>
  <c r="E106" i="14"/>
  <c r="D95" i="14"/>
  <c r="E84" i="14"/>
  <c r="G84" i="14"/>
  <c r="C95" i="14" s="1"/>
  <c r="G96" i="14" s="1"/>
  <c r="H127" i="14"/>
  <c r="H65" i="13"/>
  <c r="H64" i="13"/>
  <c r="H63" i="13"/>
  <c r="H62" i="13"/>
  <c r="H61" i="13"/>
  <c r="H60" i="13"/>
  <c r="H59" i="13"/>
  <c r="F64" i="13"/>
  <c r="G63" i="13"/>
  <c r="F63" i="13"/>
  <c r="E61" i="13"/>
  <c r="F55" i="13"/>
  <c r="L32" i="11"/>
  <c r="I53" i="13"/>
  <c r="E53" i="13"/>
  <c r="C53" i="13"/>
  <c r="H51" i="13"/>
  <c r="F51" i="13"/>
  <c r="H50" i="13"/>
  <c r="G50" i="13"/>
  <c r="D50" i="13"/>
  <c r="C47" i="13"/>
  <c r="I45" i="13"/>
  <c r="F45" i="13"/>
  <c r="D45" i="13"/>
  <c r="C45" i="13"/>
  <c r="B45" i="13"/>
  <c r="C43" i="13"/>
  <c r="F38" i="13"/>
  <c r="F31" i="13"/>
  <c r="F37" i="13"/>
  <c r="F34" i="13"/>
  <c r="H31" i="13"/>
  <c r="F30" i="13"/>
  <c r="F29" i="13"/>
  <c r="H27" i="13"/>
  <c r="G27" i="13"/>
  <c r="G28" i="13"/>
  <c r="F27" i="13"/>
  <c r="F26" i="13"/>
  <c r="F25" i="13"/>
  <c r="G13" i="13"/>
  <c r="F13" i="13"/>
  <c r="G12" i="13"/>
  <c r="F11" i="13"/>
  <c r="F9" i="13"/>
  <c r="H7" i="13"/>
  <c r="F7" i="13"/>
  <c r="G6" i="13"/>
  <c r="G5" i="13"/>
  <c r="F5" i="13"/>
  <c r="G4" i="13"/>
  <c r="F4" i="13"/>
  <c r="F18" i="13" s="1"/>
  <c r="J95" i="12"/>
  <c r="H95" i="12"/>
  <c r="H88" i="12"/>
  <c r="G88" i="12"/>
  <c r="I87" i="12"/>
  <c r="E87" i="12"/>
  <c r="G86" i="12"/>
  <c r="D84" i="12"/>
  <c r="I84" i="12" s="1"/>
  <c r="H83" i="12"/>
  <c r="H84" i="12" s="1"/>
  <c r="G83" i="12"/>
  <c r="P82" i="12"/>
  <c r="I76" i="12"/>
  <c r="B74" i="12"/>
  <c r="B73" i="12"/>
  <c r="K71" i="12"/>
  <c r="G73" i="12" s="1"/>
  <c r="G70" i="12"/>
  <c r="K62" i="12"/>
  <c r="I63" i="12" s="1"/>
  <c r="A60" i="12"/>
  <c r="B57" i="12"/>
  <c r="B56" i="12"/>
  <c r="G56" i="12" s="1"/>
  <c r="B49" i="12"/>
  <c r="B48" i="12"/>
  <c r="H32" i="11"/>
  <c r="F32" i="11"/>
  <c r="K44" i="12"/>
  <c r="D43" i="12"/>
  <c r="G72" i="12" s="1"/>
  <c r="L51" i="12"/>
  <c r="K51" i="12"/>
  <c r="J40" i="12"/>
  <c r="J51" i="12" s="1"/>
  <c r="H41" i="12"/>
  <c r="H52" i="12" s="1"/>
  <c r="H37" i="12"/>
  <c r="A37" i="12"/>
  <c r="G35" i="12"/>
  <c r="G36" i="12" s="1"/>
  <c r="H30" i="12"/>
  <c r="A30" i="12"/>
  <c r="A27" i="12"/>
  <c r="A26" i="12"/>
  <c r="G24" i="12"/>
  <c r="A25" i="12" s="1"/>
  <c r="A19" i="12"/>
  <c r="A20" i="12" s="1"/>
  <c r="C11" i="12"/>
  <c r="J15" i="12"/>
  <c r="J35" i="12" s="1"/>
  <c r="I15" i="12"/>
  <c r="H17" i="12" s="1"/>
  <c r="H15" i="12"/>
  <c r="H16" i="12" s="1"/>
  <c r="H35" i="12" s="1"/>
  <c r="H36" i="12" s="1"/>
  <c r="G15" i="12"/>
  <c r="G16" i="12" s="1"/>
  <c r="B11" i="12"/>
  <c r="K8" i="12"/>
  <c r="E7" i="12"/>
  <c r="B33" i="11"/>
  <c r="B32" i="11"/>
  <c r="J77" i="12" l="1"/>
  <c r="D77" i="12"/>
  <c r="G48" i="12"/>
  <c r="H96" i="12"/>
  <c r="C99" i="14"/>
  <c r="G100" i="14"/>
  <c r="I35" i="12"/>
  <c r="J38" i="12"/>
  <c r="H94" i="12" s="1"/>
  <c r="G45" i="12"/>
  <c r="G55" i="12"/>
  <c r="I48" i="12"/>
  <c r="I49" i="12" s="1"/>
  <c r="I56" i="12"/>
  <c r="I57" i="12" s="1"/>
  <c r="I73" i="12"/>
  <c r="G51" i="12"/>
  <c r="G17" i="12"/>
  <c r="J17" i="12" s="1"/>
  <c r="G19" i="12" s="1"/>
  <c r="I16" i="12"/>
  <c r="I36" i="12" s="1"/>
  <c r="K36" i="12" s="1"/>
  <c r="G63" i="12"/>
  <c r="G38" i="12"/>
  <c r="F31" i="11"/>
  <c r="F30" i="11"/>
  <c r="G28" i="11"/>
  <c r="D26" i="11"/>
  <c r="B26" i="11"/>
  <c r="I23" i="11"/>
  <c r="H23" i="11"/>
  <c r="D18" i="11"/>
  <c r="C18" i="11"/>
  <c r="B18" i="11"/>
  <c r="I17" i="11"/>
  <c r="H17" i="11"/>
  <c r="G17" i="11"/>
  <c r="F12" i="11"/>
  <c r="G38" i="10"/>
  <c r="F39" i="10"/>
  <c r="G40" i="10"/>
  <c r="H41" i="10"/>
  <c r="H42" i="10"/>
  <c r="I43" i="10"/>
  <c r="D37" i="10"/>
  <c r="C38" i="10"/>
  <c r="B39" i="10"/>
  <c r="B40" i="10"/>
  <c r="B41" i="10"/>
  <c r="H34" i="10"/>
  <c r="G34" i="10"/>
  <c r="G33" i="10"/>
  <c r="G32" i="10"/>
  <c r="G31" i="10"/>
  <c r="G26" i="10"/>
  <c r="H24" i="10"/>
  <c r="G24" i="10"/>
  <c r="F30" i="9"/>
  <c r="I26" i="9"/>
  <c r="H21" i="9"/>
  <c r="H23" i="9" s="1"/>
  <c r="H24" i="9" s="1"/>
  <c r="G21" i="9"/>
  <c r="G23" i="9" s="1"/>
  <c r="G24" i="9" s="1"/>
  <c r="G17" i="9"/>
  <c r="G16" i="9"/>
  <c r="F69" i="8"/>
  <c r="F68" i="8"/>
  <c r="E64" i="8"/>
  <c r="G65" i="8"/>
  <c r="F62" i="8"/>
  <c r="E61" i="8"/>
  <c r="C59" i="8"/>
  <c r="G55" i="8"/>
  <c r="Q42" i="7"/>
  <c r="O41" i="6"/>
  <c r="F54" i="8"/>
  <c r="D54" i="8"/>
  <c r="J46" i="8"/>
  <c r="I47" i="8"/>
  <c r="H47" i="8"/>
  <c r="G51" i="8"/>
  <c r="G47" i="8"/>
  <c r="I46" i="8"/>
  <c r="H46" i="8"/>
  <c r="G46" i="8"/>
  <c r="G49" i="8"/>
  <c r="G45" i="8"/>
  <c r="F41" i="7"/>
  <c r="G40" i="8" s="1"/>
  <c r="I35" i="8"/>
  <c r="H30" i="8"/>
  <c r="H32" i="8" s="1"/>
  <c r="H33" i="8" s="1"/>
  <c r="G30" i="8"/>
  <c r="G32" i="8" s="1"/>
  <c r="G33" i="8" s="1"/>
  <c r="B12" i="8"/>
  <c r="B11" i="8"/>
  <c r="D8" i="8"/>
  <c r="G38" i="8" s="1"/>
  <c r="G89" i="12" l="1"/>
  <c r="J101" i="14"/>
  <c r="E102" i="14" s="1"/>
  <c r="E101" i="14"/>
  <c r="K59" i="12"/>
  <c r="K60" i="12" s="1"/>
  <c r="G59" i="12"/>
  <c r="G25" i="12"/>
  <c r="G20" i="12"/>
  <c r="G21" i="12"/>
  <c r="K16" i="12"/>
  <c r="H8" i="8"/>
  <c r="F29" i="7"/>
  <c r="C72" i="5"/>
  <c r="G27" i="12" l="1"/>
  <c r="G28" i="12"/>
  <c r="G29" i="12" s="1"/>
  <c r="G26" i="12"/>
  <c r="D22" i="7"/>
  <c r="F42" i="7" s="1"/>
  <c r="G41" i="8" s="1"/>
  <c r="D17" i="7"/>
  <c r="D16" i="7"/>
  <c r="D15" i="7"/>
  <c r="I14" i="7"/>
  <c r="D37" i="6"/>
  <c r="J35" i="6"/>
  <c r="G19" i="6"/>
  <c r="F30" i="6" s="1"/>
  <c r="J25" i="6"/>
  <c r="J34" i="6" s="1"/>
  <c r="E31" i="6" s="1"/>
  <c r="F24" i="6"/>
  <c r="H15" i="6"/>
  <c r="H17" i="6" s="1"/>
  <c r="D59" i="5"/>
  <c r="G56" i="5"/>
  <c r="D53" i="5"/>
  <c r="E51" i="5"/>
  <c r="G40" i="5"/>
  <c r="B50" i="5" s="1"/>
  <c r="D52" i="5" s="1"/>
  <c r="G37" i="5"/>
  <c r="H36" i="5"/>
  <c r="G41" i="5" s="1"/>
  <c r="H35" i="5"/>
  <c r="F30" i="5"/>
  <c r="F31" i="5"/>
  <c r="G21" i="5"/>
  <c r="G20" i="5"/>
  <c r="F29" i="5" s="1"/>
  <c r="G19" i="5"/>
  <c r="F43" i="6" s="1"/>
  <c r="E44" i="5" l="1"/>
  <c r="G44" i="5"/>
  <c r="I29" i="12"/>
  <c r="J31" i="12" s="1"/>
  <c r="F44" i="6"/>
  <c r="I21" i="6"/>
  <c r="H20" i="6"/>
  <c r="J30" i="6"/>
  <c r="E30" i="6"/>
  <c r="S27" i="6"/>
  <c r="F38" i="4"/>
  <c r="C78" i="5" s="1"/>
  <c r="F45" i="6" s="1"/>
  <c r="F37" i="4"/>
  <c r="F36" i="4"/>
  <c r="E76" i="5" s="1"/>
  <c r="G26" i="4"/>
  <c r="G24" i="4"/>
  <c r="E22" i="4"/>
  <c r="E23" i="4" s="1"/>
  <c r="F15" i="4"/>
  <c r="C64" i="5" s="1"/>
  <c r="H9" i="4"/>
  <c r="H6" i="4"/>
  <c r="F18" i="4" s="1"/>
  <c r="F8" i="4"/>
  <c r="H7" i="3"/>
  <c r="H8" i="3"/>
  <c r="H9" i="3"/>
  <c r="H10" i="3"/>
  <c r="H11" i="3"/>
  <c r="H12" i="3"/>
  <c r="H6" i="3"/>
  <c r="I5" i="3"/>
  <c r="H5" i="3"/>
  <c r="G33" i="1"/>
  <c r="G32" i="1"/>
  <c r="G31" i="1"/>
  <c r="J31" i="1"/>
  <c r="G30" i="1"/>
  <c r="F28" i="1"/>
  <c r="G22" i="1"/>
  <c r="D22" i="1"/>
  <c r="H15" i="1"/>
  <c r="H19" i="1"/>
  <c r="E19" i="1"/>
  <c r="H17" i="1"/>
  <c r="E17" i="1"/>
  <c r="E15" i="1"/>
  <c r="D15" i="1"/>
  <c r="I9" i="1"/>
  <c r="I8" i="1"/>
  <c r="I7" i="1"/>
  <c r="G4" i="1"/>
  <c r="G5" i="1"/>
  <c r="E4" i="1"/>
  <c r="G31" i="12" l="1"/>
  <c r="E52" i="5"/>
  <c r="D49" i="5"/>
  <c r="G53" i="14"/>
  <c r="F20" i="11"/>
  <c r="I20" i="11" s="1"/>
  <c r="F16" i="13"/>
  <c r="F17" i="13" s="1"/>
  <c r="M23" i="4"/>
  <c r="G30" i="10"/>
  <c r="F61" i="8"/>
  <c r="G29" i="8"/>
  <c r="I32" i="8" s="1"/>
  <c r="I33" i="8" s="1"/>
  <c r="G18" i="9"/>
  <c r="I23" i="9" s="1"/>
  <c r="I24" i="9" s="1"/>
  <c r="E26" i="7"/>
  <c r="H26" i="7"/>
  <c r="E27" i="7" s="1"/>
  <c r="F24" i="4"/>
  <c r="F26" i="7"/>
  <c r="F15" i="7"/>
  <c r="D20" i="7" s="1"/>
  <c r="H93" i="12"/>
  <c r="G40" i="12"/>
  <c r="E71" i="5"/>
  <c r="F39" i="6" s="1"/>
  <c r="H21" i="6"/>
  <c r="H22" i="6" s="1"/>
  <c r="H23" i="6" s="1"/>
  <c r="F25" i="6" s="1"/>
  <c r="B49" i="5"/>
  <c r="D51" i="5" s="1"/>
  <c r="G51" i="5" s="1"/>
  <c r="E25" i="4"/>
  <c r="E24" i="4"/>
  <c r="G22" i="5"/>
  <c r="G23" i="5"/>
  <c r="J33" i="6"/>
  <c r="R30" i="6"/>
  <c r="J32" i="6"/>
  <c r="G25" i="9" l="1"/>
  <c r="H25" i="9"/>
  <c r="G42" i="14"/>
  <c r="G23" i="11"/>
  <c r="F26" i="4"/>
  <c r="F27" i="4" s="1"/>
  <c r="L25" i="4"/>
  <c r="G34" i="8"/>
  <c r="H34" i="8"/>
  <c r="E58" i="14"/>
  <c r="H58" i="14"/>
  <c r="H25" i="6"/>
  <c r="G24" i="5"/>
  <c r="E24" i="5"/>
  <c r="D54" i="5"/>
  <c r="G54" i="5"/>
  <c r="E30" i="4"/>
  <c r="E28" i="4"/>
  <c r="D38" i="6"/>
  <c r="E37" i="6"/>
  <c r="G35" i="8" l="1"/>
  <c r="H40" i="12"/>
  <c r="F25" i="11"/>
  <c r="G26" i="9"/>
  <c r="G20" i="15"/>
  <c r="G29" i="15" s="1"/>
  <c r="G111" i="14"/>
  <c r="G46" i="14"/>
  <c r="G47" i="14" s="1"/>
  <c r="M46" i="14"/>
  <c r="M47" i="14" s="1"/>
  <c r="G122" i="14"/>
  <c r="D111" i="14"/>
  <c r="I46" i="14"/>
  <c r="H47" i="14" s="1"/>
  <c r="F31" i="4"/>
  <c r="F30" i="4"/>
  <c r="I55" i="5"/>
  <c r="L55" i="5"/>
  <c r="I40" i="6"/>
  <c r="F40" i="6"/>
  <c r="G113" i="14" l="1"/>
  <c r="G112" i="14"/>
  <c r="H51" i="12"/>
  <c r="G53" i="12" s="1"/>
  <c r="G54" i="12" s="1"/>
  <c r="J54" i="12" s="1"/>
  <c r="G42" i="12"/>
  <c r="G131" i="14"/>
  <c r="I131" i="14" s="1"/>
  <c r="I122" i="14"/>
  <c r="G125" i="14" s="1"/>
  <c r="G127" i="14" s="1"/>
  <c r="G129" i="14" s="1"/>
  <c r="G48" i="14"/>
  <c r="G30" i="15"/>
  <c r="G32" i="15"/>
  <c r="G33" i="15" s="1"/>
  <c r="H33" i="15" s="1"/>
  <c r="H26" i="11"/>
  <c r="F26" i="11"/>
  <c r="H92" i="12"/>
  <c r="F46" i="6"/>
  <c r="G32" i="7"/>
  <c r="E32" i="7"/>
  <c r="E57" i="5"/>
  <c r="G57" i="5"/>
  <c r="I117" i="14" l="1"/>
  <c r="G118" i="14"/>
  <c r="G44" i="12"/>
  <c r="J44" i="12" s="1"/>
  <c r="G68" i="12"/>
  <c r="F29" i="11"/>
  <c r="H29" i="11" s="1"/>
  <c r="G69" i="12"/>
  <c r="J69" i="12" s="1"/>
  <c r="G79" i="12" s="1"/>
  <c r="G81" i="12" s="1"/>
  <c r="G67" i="12"/>
  <c r="L51" i="14"/>
  <c r="L52" i="14" s="1"/>
  <c r="L54" i="14" s="1"/>
  <c r="G63" i="14"/>
  <c r="I63" i="14" s="1"/>
  <c r="G66" i="14" s="1"/>
  <c r="H66" i="14" s="1"/>
  <c r="F38" i="7"/>
  <c r="E25" i="7"/>
  <c r="G25" i="7"/>
  <c r="F40" i="7" s="1"/>
  <c r="H43" i="7" l="1"/>
  <c r="F43" i="7"/>
  <c r="G57" i="8" s="1"/>
  <c r="G71" i="12"/>
  <c r="J71" i="12" s="1"/>
  <c r="J81" i="12"/>
  <c r="G82" i="12" s="1"/>
  <c r="J82" i="12" s="1"/>
  <c r="G84" i="12" s="1"/>
  <c r="J84" i="12" s="1"/>
  <c r="G85" i="12" s="1"/>
  <c r="H85" i="12" s="1"/>
  <c r="I69" i="14"/>
  <c r="G69" i="14"/>
  <c r="L68" i="14"/>
  <c r="F27" i="7"/>
  <c r="G27" i="7"/>
  <c r="G28" i="7" s="1"/>
  <c r="G58" i="8" l="1"/>
  <c r="H61" i="8" s="1"/>
  <c r="I61" i="8" s="1"/>
  <c r="E63" i="8" s="1"/>
  <c r="G63" i="8" s="1"/>
  <c r="F30" i="7"/>
  <c r="E30" i="7"/>
  <c r="N64" i="8" l="1"/>
  <c r="F37" i="7"/>
  <c r="F33" i="7"/>
  <c r="H33" i="7"/>
  <c r="F39" i="7" s="1"/>
</calcChain>
</file>

<file path=xl/sharedStrings.xml><?xml version="1.0" encoding="utf-8"?>
<sst xmlns="http://schemas.openxmlformats.org/spreadsheetml/2006/main" count="1240" uniqueCount="709">
  <si>
    <t>Calculation of Water Demand</t>
  </si>
  <si>
    <t>Expected Population after</t>
  </si>
  <si>
    <t>=</t>
  </si>
  <si>
    <t xml:space="preserve">Average Rate of Water Supply / Capita </t>
  </si>
  <si>
    <t>Water required for above purposes for whole town =</t>
  </si>
  <si>
    <t>Industrial Demand</t>
  </si>
  <si>
    <t>Fire Requirement :</t>
  </si>
  <si>
    <t>It can be assumed that city is a residential town ( Low Rise  Buildings )</t>
  </si>
  <si>
    <t xml:space="preserve">Water for Fire </t>
  </si>
  <si>
    <t>MLD</t>
  </si>
  <si>
    <r>
      <rPr>
        <b/>
        <vertAlign val="superscript"/>
        <sz val="11"/>
        <color theme="1"/>
        <rFont val="Times New Roman"/>
        <family val="1"/>
      </rPr>
      <t>-3</t>
    </r>
  </si>
  <si>
    <t>Average Daily Draft =</t>
  </si>
  <si>
    <t>Maximum Daily Draft =</t>
  </si>
  <si>
    <t>Coincident Draft = Maximum Daily Draft + Fire Demand</t>
  </si>
  <si>
    <t>( Considering Draft &lt; Maximum Hourly Draft )</t>
  </si>
  <si>
    <t>Design Capacity For Various Components</t>
  </si>
  <si>
    <t>Intake Structure Daily Draft =</t>
  </si>
  <si>
    <t>Pipe Main = Maximum Daily Draft =</t>
  </si>
  <si>
    <t>Filters and Other Units at Treatment Plant :</t>
  </si>
  <si>
    <t>Lift Pump :</t>
  </si>
  <si>
    <t>Physical &amp; Chemical Standards Of Water</t>
  </si>
  <si>
    <t>S.No.</t>
  </si>
  <si>
    <t>Characteristics</t>
  </si>
  <si>
    <t>Acceptable</t>
  </si>
  <si>
    <t>Cause for Rejection</t>
  </si>
  <si>
    <t>Turbidity ( Units on J.T.U. Scale )</t>
  </si>
  <si>
    <t>Colour ( Units on Platinum Cobalt Scale )</t>
  </si>
  <si>
    <t>Taste &amp; Odour</t>
  </si>
  <si>
    <t>PH</t>
  </si>
  <si>
    <t>Total Dissolved Solids ( mg / L )</t>
  </si>
  <si>
    <t>Calcium ( mg / L as Capacity )</t>
  </si>
  <si>
    <t>Unobjectionable</t>
  </si>
  <si>
    <t>Mineral Oil ( mg / L )</t>
  </si>
  <si>
    <t>TOXIC MATERIALS</t>
  </si>
  <si>
    <r>
      <t xml:space="preserve">Arsenic ( mg / L as </t>
    </r>
    <r>
      <rPr>
        <b/>
        <sz val="11"/>
        <color theme="1"/>
        <rFont val="Times New Roman"/>
        <family val="1"/>
      </rPr>
      <t>A</t>
    </r>
    <r>
      <rPr>
        <b/>
        <vertAlign val="subscript"/>
        <sz val="11"/>
        <color theme="1"/>
        <rFont val="Times New Roman"/>
        <family val="1"/>
      </rPr>
      <t xml:space="preserve"> s</t>
    </r>
    <r>
      <rPr>
        <sz val="11"/>
        <color theme="1"/>
        <rFont val="Times New Roman"/>
        <family val="1"/>
      </rPr>
      <t xml:space="preserve"> )</t>
    </r>
  </si>
  <si>
    <r>
      <t>Anionic Detergents ( mg / as</t>
    </r>
    <r>
      <rPr>
        <b/>
        <sz val="11"/>
        <color theme="1"/>
        <rFont val="Times New Roman"/>
        <family val="1"/>
      </rPr>
      <t xml:space="preserve"> MBAS</t>
    </r>
    <r>
      <rPr>
        <sz val="11"/>
        <color theme="1"/>
        <rFont val="Times New Roman"/>
        <family val="1"/>
      </rPr>
      <t xml:space="preserve"> )</t>
    </r>
  </si>
  <si>
    <r>
      <t xml:space="preserve">Phenolic Compounds ( mg / L as </t>
    </r>
    <r>
      <rPr>
        <b/>
        <sz val="11"/>
        <color theme="1"/>
        <rFont val="Times New Roman"/>
        <family val="1"/>
      </rPr>
      <t>Phenol</t>
    </r>
    <r>
      <rPr>
        <sz val="11"/>
        <color theme="1"/>
        <rFont val="Times New Roman"/>
        <family val="1"/>
      </rPr>
      <t xml:space="preserve"> )</t>
    </r>
  </si>
  <si>
    <r>
      <t xml:space="preserve">Zinc ( mg / L as </t>
    </r>
    <r>
      <rPr>
        <b/>
        <sz val="11"/>
        <color theme="1"/>
        <rFont val="Times New Roman"/>
        <family val="1"/>
      </rPr>
      <t xml:space="preserve">Z </t>
    </r>
    <r>
      <rPr>
        <b/>
        <vertAlign val="subscript"/>
        <sz val="11"/>
        <color theme="1"/>
        <rFont val="Times New Roman"/>
        <family val="1"/>
      </rPr>
      <t>n</t>
    </r>
    <r>
      <rPr>
        <sz val="11"/>
        <color theme="1"/>
        <rFont val="Times New Roman"/>
        <family val="1"/>
      </rPr>
      <t xml:space="preserve"> )</t>
    </r>
  </si>
  <si>
    <r>
      <t xml:space="preserve">Copper ( mg / L as </t>
    </r>
    <r>
      <rPr>
        <b/>
        <sz val="11"/>
        <color theme="1"/>
        <rFont val="Times New Roman"/>
        <family val="1"/>
      </rPr>
      <t>C</t>
    </r>
    <r>
      <rPr>
        <b/>
        <vertAlign val="subscript"/>
        <sz val="11"/>
        <color theme="1"/>
        <rFont val="Times New Roman"/>
        <family val="1"/>
      </rPr>
      <t xml:space="preserve"> u</t>
    </r>
    <r>
      <rPr>
        <sz val="11"/>
        <color theme="1"/>
        <rFont val="Times New Roman"/>
        <family val="1"/>
      </rPr>
      <t xml:space="preserve"> )</t>
    </r>
  </si>
  <si>
    <r>
      <t xml:space="preserve">Manganese ( mg / L as </t>
    </r>
    <r>
      <rPr>
        <b/>
        <sz val="11"/>
        <color theme="1"/>
        <rFont val="Times New Roman"/>
        <family val="1"/>
      </rPr>
      <t xml:space="preserve">M </t>
    </r>
    <r>
      <rPr>
        <b/>
        <vertAlign val="subscript"/>
        <sz val="11"/>
        <color theme="1"/>
        <rFont val="Times New Roman"/>
        <family val="1"/>
      </rPr>
      <t>n</t>
    </r>
    <r>
      <rPr>
        <vertAlign val="subscript"/>
        <sz val="11"/>
        <color theme="1"/>
        <rFont val="Times New Roman"/>
        <family val="1"/>
      </rPr>
      <t xml:space="preserve"> </t>
    </r>
    <r>
      <rPr>
        <sz val="11"/>
        <color theme="1"/>
        <rFont val="Times New Roman"/>
        <family val="1"/>
      </rPr>
      <t>)</t>
    </r>
  </si>
  <si>
    <r>
      <t xml:space="preserve">Iron ( mg / L as </t>
    </r>
    <r>
      <rPr>
        <b/>
        <sz val="11"/>
        <color theme="1"/>
        <rFont val="Times New Roman"/>
        <family val="1"/>
      </rPr>
      <t>F</t>
    </r>
    <r>
      <rPr>
        <b/>
        <vertAlign val="subscript"/>
        <sz val="11"/>
        <color theme="1"/>
        <rFont val="Times New Roman"/>
        <family val="1"/>
      </rPr>
      <t>e</t>
    </r>
    <r>
      <rPr>
        <sz val="11"/>
        <color theme="1"/>
        <rFont val="Times New Roman"/>
        <family val="1"/>
      </rPr>
      <t xml:space="preserve"> )</t>
    </r>
  </si>
  <si>
    <r>
      <t xml:space="preserve">Magnesium ( mg / L as </t>
    </r>
    <r>
      <rPr>
        <b/>
        <sz val="11"/>
        <color theme="1"/>
        <rFont val="Times New Roman"/>
        <family val="1"/>
      </rPr>
      <t>Mg</t>
    </r>
    <r>
      <rPr>
        <sz val="11"/>
        <color theme="1"/>
        <rFont val="Times New Roman"/>
        <family val="1"/>
      </rPr>
      <t xml:space="preserve"> )</t>
    </r>
  </si>
  <si>
    <r>
      <t>Nitrates ( mg / L as</t>
    </r>
    <r>
      <rPr>
        <b/>
        <sz val="11"/>
        <color theme="1"/>
        <rFont val="Times New Roman"/>
        <family val="1"/>
      </rPr>
      <t xml:space="preserve"> N O </t>
    </r>
    <r>
      <rPr>
        <b/>
        <vertAlign val="subscript"/>
        <sz val="11"/>
        <color theme="1"/>
        <rFont val="Times New Roman"/>
        <family val="1"/>
      </rPr>
      <t>3</t>
    </r>
    <r>
      <rPr>
        <b/>
        <sz val="11"/>
        <color theme="1"/>
        <rFont val="Times New Roman"/>
        <family val="1"/>
      </rPr>
      <t xml:space="preserve"> </t>
    </r>
    <r>
      <rPr>
        <sz val="11"/>
        <color theme="1"/>
        <rFont val="Times New Roman"/>
        <family val="1"/>
      </rPr>
      <t>)</t>
    </r>
  </si>
  <si>
    <r>
      <t>Fluorides ( mg / L as</t>
    </r>
    <r>
      <rPr>
        <b/>
        <sz val="11"/>
        <color theme="1"/>
        <rFont val="Times New Roman"/>
        <family val="1"/>
      </rPr>
      <t xml:space="preserve"> F</t>
    </r>
    <r>
      <rPr>
        <sz val="11"/>
        <color theme="1"/>
        <rFont val="Times New Roman"/>
        <family val="1"/>
      </rPr>
      <t xml:space="preserve"> )</t>
    </r>
  </si>
  <si>
    <r>
      <t xml:space="preserve">Sulphates ( mg / L as </t>
    </r>
    <r>
      <rPr>
        <b/>
        <sz val="11"/>
        <color theme="1"/>
        <rFont val="Times New Roman"/>
        <family val="1"/>
      </rPr>
      <t xml:space="preserve">S O </t>
    </r>
    <r>
      <rPr>
        <b/>
        <vertAlign val="subscript"/>
        <sz val="11"/>
        <color theme="1"/>
        <rFont val="Times New Roman"/>
        <family val="1"/>
      </rPr>
      <t>4</t>
    </r>
    <r>
      <rPr>
        <b/>
        <sz val="11"/>
        <color theme="1"/>
        <rFont val="Times New Roman"/>
        <family val="1"/>
      </rPr>
      <t xml:space="preserve"> </t>
    </r>
    <r>
      <rPr>
        <sz val="11"/>
        <color theme="1"/>
        <rFont val="Times New Roman"/>
        <family val="1"/>
      </rPr>
      <t>)</t>
    </r>
  </si>
  <si>
    <r>
      <t xml:space="preserve">Chlorides ( mg / L as </t>
    </r>
    <r>
      <rPr>
        <b/>
        <sz val="11"/>
        <color theme="1"/>
        <rFont val="Times New Roman"/>
        <family val="1"/>
      </rPr>
      <t>C 1</t>
    </r>
    <r>
      <rPr>
        <sz val="11"/>
        <color theme="1"/>
        <rFont val="Times New Roman"/>
        <family val="1"/>
      </rPr>
      <t xml:space="preserve"> )</t>
    </r>
  </si>
  <si>
    <r>
      <t xml:space="preserve">Total Hardness ( mg / L as </t>
    </r>
    <r>
      <rPr>
        <b/>
        <sz val="11"/>
        <color theme="1"/>
        <rFont val="Times New Roman"/>
        <family val="1"/>
      </rPr>
      <t xml:space="preserve">Ca CO </t>
    </r>
    <r>
      <rPr>
        <b/>
        <vertAlign val="subscript"/>
        <sz val="11"/>
        <color theme="1"/>
        <rFont val="Times New Roman"/>
        <family val="1"/>
      </rPr>
      <t>3</t>
    </r>
    <r>
      <rPr>
        <sz val="11"/>
        <color theme="1"/>
        <rFont val="Times New Roman"/>
        <family val="1"/>
      </rPr>
      <t xml:space="preserve"> )</t>
    </r>
  </si>
  <si>
    <r>
      <t xml:space="preserve">Cadmium ( mg / L as </t>
    </r>
    <r>
      <rPr>
        <b/>
        <sz val="11"/>
        <color theme="1"/>
        <rFont val="Times New Roman"/>
        <family val="1"/>
      </rPr>
      <t>C</t>
    </r>
    <r>
      <rPr>
        <b/>
        <vertAlign val="subscript"/>
        <sz val="11"/>
        <color theme="1"/>
        <rFont val="Times New Roman"/>
        <family val="1"/>
      </rPr>
      <t>d</t>
    </r>
    <r>
      <rPr>
        <sz val="11"/>
        <color theme="1"/>
        <rFont val="Times New Roman"/>
        <family val="1"/>
      </rPr>
      <t xml:space="preserve"> )</t>
    </r>
  </si>
  <si>
    <r>
      <t xml:space="preserve">Chromium ( mg / L as Hexavalent </t>
    </r>
    <r>
      <rPr>
        <b/>
        <sz val="11"/>
        <color theme="1"/>
        <rFont val="Times New Roman"/>
        <family val="1"/>
      </rPr>
      <t>C</t>
    </r>
    <r>
      <rPr>
        <b/>
        <vertAlign val="subscript"/>
        <sz val="11"/>
        <color theme="1"/>
        <rFont val="Times New Roman"/>
        <family val="1"/>
      </rPr>
      <t>r</t>
    </r>
    <r>
      <rPr>
        <b/>
        <sz val="11"/>
        <color theme="1"/>
        <rFont val="Times New Roman"/>
        <family val="1"/>
      </rPr>
      <t xml:space="preserve"> </t>
    </r>
    <r>
      <rPr>
        <sz val="11"/>
        <color theme="1"/>
        <rFont val="Times New Roman"/>
        <family val="1"/>
      </rPr>
      <t>)</t>
    </r>
  </si>
  <si>
    <r>
      <t xml:space="preserve">Lead ( mg / L as </t>
    </r>
    <r>
      <rPr>
        <b/>
        <sz val="11"/>
        <color theme="1"/>
        <rFont val="Times New Roman"/>
        <family val="1"/>
      </rPr>
      <t xml:space="preserve">P </t>
    </r>
    <r>
      <rPr>
        <b/>
        <vertAlign val="subscript"/>
        <sz val="11"/>
        <color theme="1"/>
        <rFont val="Times New Roman"/>
        <family val="1"/>
      </rPr>
      <t>b</t>
    </r>
    <r>
      <rPr>
        <sz val="11"/>
        <color theme="1"/>
        <rFont val="Times New Roman"/>
        <family val="1"/>
      </rPr>
      <t xml:space="preserve"> )</t>
    </r>
  </si>
  <si>
    <r>
      <t xml:space="preserve">Selenium ( mg / L as </t>
    </r>
    <r>
      <rPr>
        <b/>
        <sz val="11"/>
        <color theme="1"/>
        <rFont val="Times New Roman"/>
        <family val="1"/>
      </rPr>
      <t>S</t>
    </r>
    <r>
      <rPr>
        <b/>
        <vertAlign val="subscript"/>
        <sz val="11"/>
        <color theme="1"/>
        <rFont val="Times New Roman"/>
        <family val="1"/>
      </rPr>
      <t>e</t>
    </r>
    <r>
      <rPr>
        <b/>
        <sz val="11"/>
        <color theme="1"/>
        <rFont val="Times New Roman"/>
        <family val="1"/>
      </rPr>
      <t xml:space="preserve"> </t>
    </r>
    <r>
      <rPr>
        <sz val="11"/>
        <color theme="1"/>
        <rFont val="Times New Roman"/>
        <family val="1"/>
      </rPr>
      <t>)</t>
    </r>
  </si>
  <si>
    <r>
      <t xml:space="preserve">Mercury ( mg / L as </t>
    </r>
    <r>
      <rPr>
        <b/>
        <sz val="11"/>
        <color theme="1"/>
        <rFont val="Times New Roman"/>
        <family val="1"/>
      </rPr>
      <t>H</t>
    </r>
    <r>
      <rPr>
        <b/>
        <vertAlign val="subscript"/>
        <sz val="11"/>
        <color theme="1"/>
        <rFont val="Times New Roman"/>
        <family val="1"/>
      </rPr>
      <t>g</t>
    </r>
    <r>
      <rPr>
        <b/>
        <sz val="11"/>
        <color theme="1"/>
        <rFont val="Times New Roman"/>
        <family val="1"/>
      </rPr>
      <t xml:space="preserve"> </t>
    </r>
    <r>
      <rPr>
        <sz val="11"/>
        <color theme="1"/>
        <rFont val="Times New Roman"/>
        <family val="1"/>
      </rPr>
      <t>)</t>
    </r>
  </si>
  <si>
    <t>Polynuclear Aromatic Hydrocarbons ( mg/L )</t>
  </si>
  <si>
    <t>RADIO ACTIVITY</t>
  </si>
  <si>
    <r>
      <t>Gross Alpha Activity in pico Curie ( ρ C</t>
    </r>
    <r>
      <rPr>
        <vertAlign val="subscript"/>
        <sz val="11"/>
        <color theme="1"/>
        <rFont val="Times New Roman"/>
        <family val="1"/>
      </rPr>
      <t xml:space="preserve">i </t>
    </r>
    <r>
      <rPr>
        <sz val="11"/>
        <color theme="1"/>
        <rFont val="Times New Roman"/>
        <family val="1"/>
      </rPr>
      <t>/ L )</t>
    </r>
  </si>
  <si>
    <r>
      <t>Gross Beta Activity  ( ρ C</t>
    </r>
    <r>
      <rPr>
        <vertAlign val="subscript"/>
        <sz val="11"/>
        <color theme="1"/>
        <rFont val="Times New Roman"/>
        <family val="1"/>
      </rPr>
      <t>i</t>
    </r>
    <r>
      <rPr>
        <sz val="11"/>
        <color theme="1"/>
        <rFont val="Times New Roman"/>
        <family val="1"/>
      </rPr>
      <t xml:space="preserve"> / L )</t>
    </r>
  </si>
  <si>
    <r>
      <t xml:space="preserve">Cyanides ( mg / L as </t>
    </r>
    <r>
      <rPr>
        <b/>
        <sz val="11"/>
        <color theme="1"/>
        <rFont val="Times New Roman"/>
        <family val="1"/>
      </rPr>
      <t xml:space="preserve">C ≡ N </t>
    </r>
    <r>
      <rPr>
        <sz val="11"/>
        <color theme="1"/>
        <rFont val="Times New Roman"/>
        <family val="1"/>
      </rPr>
      <t>)</t>
    </r>
  </si>
  <si>
    <t>Comparison of Given Data &amp; Standard Data and Treatment Proposed</t>
  </si>
  <si>
    <t>Particulars</t>
  </si>
  <si>
    <t>Actual</t>
  </si>
  <si>
    <t>Standard</t>
  </si>
  <si>
    <t>Difference</t>
  </si>
  <si>
    <t>Treatment Proposed</t>
  </si>
  <si>
    <t>pH</t>
  </si>
  <si>
    <t>Turbidity</t>
  </si>
  <si>
    <t>Total Hardness</t>
  </si>
  <si>
    <t>Chlorides</t>
  </si>
  <si>
    <t>Iron</t>
  </si>
  <si>
    <t>Manganese</t>
  </si>
  <si>
    <t>Carbonate</t>
  </si>
  <si>
    <t>MPN</t>
  </si>
  <si>
    <t>Not Necessary</t>
  </si>
  <si>
    <t>Clarifier &amp; Rapid Sand Filler</t>
  </si>
  <si>
    <t>Softening</t>
  </si>
  <si>
    <t>Aeration</t>
  </si>
  <si>
    <t>Chlorination</t>
  </si>
  <si>
    <t>-</t>
  </si>
  <si>
    <t>Design of Intake Well</t>
  </si>
  <si>
    <t>Design Criteria :</t>
  </si>
  <si>
    <t>Values</t>
  </si>
  <si>
    <t>Detention Time / Period</t>
  </si>
  <si>
    <t>Diameter of Well</t>
  </si>
  <si>
    <t>Depth of Well</t>
  </si>
  <si>
    <t>Velocity of Flow</t>
  </si>
  <si>
    <t>Number of Units</t>
  </si>
  <si>
    <t>Free Board</t>
  </si>
  <si>
    <t>( Maximum =</t>
  </si>
  <si>
    <t>Design Assumptions :</t>
  </si>
  <si>
    <t>Given F.S.L.</t>
  </si>
  <si>
    <t>Minimum R.L.</t>
  </si>
  <si>
    <t>Given invert of gravity main</t>
  </si>
  <si>
    <t xml:space="preserve">Detention Time </t>
  </si>
  <si>
    <t>Design Calculations :</t>
  </si>
  <si>
    <t>Flow of Water Required =</t>
  </si>
  <si>
    <t xml:space="preserve">3600 x 24 </t>
  </si>
  <si>
    <r>
      <rPr>
        <b/>
        <vertAlign val="superscript"/>
        <sz val="11"/>
        <color theme="1"/>
        <rFont val="Times New Roman"/>
        <family val="1"/>
      </rPr>
      <t>3</t>
    </r>
    <r>
      <rPr>
        <sz val="11"/>
        <color theme="1"/>
        <rFont val="Times New Roman"/>
        <family val="1"/>
      </rPr>
      <t xml:space="preserve"> / sec.</t>
    </r>
  </si>
  <si>
    <t>Volume of Well =</t>
  </si>
  <si>
    <t>³</t>
  </si>
  <si>
    <t>Cross-sectional Area of Intake Well =</t>
  </si>
  <si>
    <t>²</t>
  </si>
  <si>
    <t>Diameter of Intake Well =</t>
  </si>
  <si>
    <t>Π</t>
  </si>
  <si>
    <t>d =</t>
  </si>
  <si>
    <t>Hence Diameter of Intake Well =</t>
  </si>
  <si>
    <t>≡</t>
  </si>
  <si>
    <t>5.5 m</t>
  </si>
  <si>
    <t>Summary :</t>
  </si>
  <si>
    <t>Number of Intake Wells</t>
  </si>
  <si>
    <t>Diameter of Intake Well</t>
  </si>
  <si>
    <t>Height of Wall</t>
  </si>
  <si>
    <t>R.L. of bottom of Well</t>
  </si>
  <si>
    <t>1 Unit</t>
  </si>
  <si>
    <t>Design of Pen Stock &amp; Bell Mouth Strainer</t>
  </si>
  <si>
    <t>a)</t>
  </si>
  <si>
    <t>Pen Stock</t>
  </si>
  <si>
    <t>These are the Pipes provided in Intake Well to allow water from water body to intake well. These pen stocks are provided at different levels, so as to take account of seasonal variation in water level (as H.F.L, W.L., L.W.L.). Trash racks of screens are provided to protect the entry sizeable things which can create trouble in the pen stock. At each level more than one pen stock is provided to take account of any obstruction during its operations. these pen stocks are regulated by valves provided at the top of intake wells.</t>
  </si>
  <si>
    <t>b)</t>
  </si>
  <si>
    <t>Design Criteria</t>
  </si>
  <si>
    <t>Velocity through Pen Stock</t>
  </si>
  <si>
    <t>Diameter of each Pen Stock</t>
  </si>
  <si>
    <t>c)</t>
  </si>
  <si>
    <t>Design Calculation</t>
  </si>
  <si>
    <t>Number of Intake Well</t>
  </si>
  <si>
    <t>Number of Pen Stock for each Intake Well</t>
  </si>
  <si>
    <t>Number of Pen Stock for each Level</t>
  </si>
  <si>
    <t>Velocity</t>
  </si>
  <si>
    <t>C / S area of each Pen Stock</t>
  </si>
  <si>
    <t xml:space="preserve">Diameter </t>
  </si>
  <si>
    <t>d)</t>
  </si>
  <si>
    <t>Summary</t>
  </si>
  <si>
    <t>Number of Pen Stock / Well</t>
  </si>
  <si>
    <t>At Each Level</t>
  </si>
  <si>
    <t>Diameter of Pen Stock</t>
  </si>
  <si>
    <t>Design of Bell Mouth Strainer :</t>
  </si>
  <si>
    <t>Hole Diameter</t>
  </si>
  <si>
    <t>Area of Strainer</t>
  </si>
  <si>
    <t xml:space="preserve">Assumptions </t>
  </si>
  <si>
    <t>Calculation</t>
  </si>
  <si>
    <t>Area of Each Hole =</t>
  </si>
  <si>
    <t>Area of Collection = Area of Pen Stock</t>
  </si>
  <si>
    <t>N =</t>
  </si>
  <si>
    <t>Area of Strainer =</t>
  </si>
  <si>
    <t>Diameter of Bell Mouth Strainer =</t>
  </si>
  <si>
    <r>
      <t xml:space="preserve"> x d </t>
    </r>
    <r>
      <rPr>
        <u/>
        <vertAlign val="superscript"/>
        <sz val="11"/>
        <color theme="1"/>
        <rFont val="Times New Roman"/>
        <family val="1"/>
      </rPr>
      <t>2</t>
    </r>
  </si>
  <si>
    <t>Diameter = d =</t>
  </si>
  <si>
    <t xml:space="preserve">Provide Diameter of </t>
  </si>
  <si>
    <t>for Bell Mouth Strainer.</t>
  </si>
  <si>
    <t>Plan</t>
  </si>
  <si>
    <t>Section</t>
  </si>
  <si>
    <t>Regulating Valves</t>
  </si>
  <si>
    <t>Manhole</t>
  </si>
  <si>
    <t>Gravity Main</t>
  </si>
  <si>
    <t>Bell Mouth Strainer</t>
  </si>
  <si>
    <t>F.S.L. =</t>
  </si>
  <si>
    <t>Bottom R.L. =</t>
  </si>
  <si>
    <t>Design of Gravity Main</t>
  </si>
  <si>
    <t>The Gravity Main connects the Intake Well to the Jack Well &amp; water flows through it by gravity. To secure the greatest economy, the diameter of a single pipe through which water flows by gravity should be such that all the head available to cause flow is consumed by friction. The available fall from the intake well to the jack well &amp; the ground profile in between should generally help to decide if a free flow conduit is feasible. once this is decided the material of the conduit is to be selected keeping in view the local cost &amp; the nature of the terrain to be traversed. Even when a fall is available, a pumping or force main, independently or in combination with a gravity main could also be considered. Gravity pipelines should be laid below the hydraulic gradient.</t>
  </si>
  <si>
    <t>Diameter of Gravity Main</t>
  </si>
  <si>
    <t>Velocity of Water</t>
  </si>
  <si>
    <t>Number of Gravity Main = Number of Intake Well</t>
  </si>
  <si>
    <t>Assumption Velocity</t>
  </si>
  <si>
    <t>R.C.C.</t>
  </si>
  <si>
    <t>Circular</t>
  </si>
  <si>
    <t>Conduit Velocity ( Assumed )</t>
  </si>
  <si>
    <t>Area of Conduit required</t>
  </si>
  <si>
    <t>(A = Q / V )</t>
  </si>
  <si>
    <t>Diameter of the conduit »</t>
  </si>
  <si>
    <t>Using Manning's Formula -</t>
  </si>
  <si>
    <t>»</t>
  </si>
  <si>
    <t>Pipe is used. For this</t>
  </si>
  <si>
    <t xml:space="preserve">n = </t>
  </si>
  <si>
    <t>Here R =</t>
  </si>
  <si>
    <t>Area</t>
  </si>
  <si>
    <t>Perimeter</t>
  </si>
  <si>
    <t>Π x D x D</t>
  </si>
  <si>
    <t>Π x D</t>
  </si>
  <si>
    <t>D</t>
  </si>
  <si>
    <r>
      <rPr>
        <b/>
        <vertAlign val="superscript"/>
        <sz val="11"/>
        <color theme="1"/>
        <rFont val="Times New Roman"/>
        <family val="1"/>
      </rPr>
      <t>4/3</t>
    </r>
  </si>
  <si>
    <t>S =</t>
  </si>
  <si>
    <t>1 :</t>
  </si>
  <si>
    <t>Head Loss =</t>
  </si>
  <si>
    <t>R.L. of Gravity Main =</t>
  </si>
  <si>
    <t>R.L. of Gravity Main at Jack Well =</t>
  </si>
  <si>
    <t>Number of Gravity Intake</t>
  </si>
  <si>
    <t>Diameter of Gravity Intake</t>
  </si>
  <si>
    <t>Invert Level at Intake Well</t>
  </si>
  <si>
    <t>Invert Level at Jack Well</t>
  </si>
  <si>
    <t>Design of Jack Well</t>
  </si>
  <si>
    <t>Jack Well</t>
  </si>
  <si>
    <t>This structure serves as a collection of the sump well for the incoming water from the intake well from where the water is pumped through the rising main to the various treatment units.</t>
  </si>
  <si>
    <t>The unit is more useful when number of intake wells are more than one, so that water is collected in one unit and then effected.</t>
  </si>
  <si>
    <t>The Jack well is generally located away from the shore line, so that the installation of pumps, inspection maintenance is made easy.</t>
  </si>
  <si>
    <t>Design criteria</t>
  </si>
  <si>
    <t>Detention Time =</t>
  </si>
  <si>
    <t>( Detention time of intake Well )</t>
  </si>
  <si>
    <t>Suction Head =</t>
  </si>
  <si>
    <t>Diameter of Well =</t>
  </si>
  <si>
    <t>Design Calculations</t>
  </si>
  <si>
    <t>Assuming Suction Head =</t>
  </si>
  <si>
    <t>Bottom Clearance =</t>
  </si>
  <si>
    <t>Top Clearance =</t>
  </si>
  <si>
    <t>Maximum depth of water that can be stored in condition when water is minimum in river .</t>
  </si>
  <si>
    <t>Minimum Depth of Water =</t>
  </si>
  <si>
    <t>L.W.L. =</t>
  </si>
  <si>
    <t>Capacity of Well =</t>
  </si>
  <si>
    <t>C / S Area of Well =</t>
  </si>
  <si>
    <t>Diameter of the Well »</t>
  </si>
  <si>
    <t>R.L. of Bottom of Jack Well =</t>
  </si>
  <si>
    <t>R.L. of Bottom of Jack Well when full =</t>
  </si>
  <si>
    <t>Diameter of Jack Well</t>
  </si>
  <si>
    <t>R.L. of Bottom of Jack Well</t>
  </si>
  <si>
    <t>R.L. of Top of Jack Well</t>
  </si>
  <si>
    <t>Suction Depth</t>
  </si>
  <si>
    <t>Top Clearance</t>
  </si>
  <si>
    <t>Bottom Clearance</t>
  </si>
  <si>
    <t>Design Of Pumping System</t>
  </si>
  <si>
    <t>Pumps</t>
  </si>
  <si>
    <t>›</t>
  </si>
  <si>
    <t>In the water treatment plant, pumps are used to boost the water from the jack well to the aeration units.</t>
  </si>
  <si>
    <t>The following points are to be stressed upon :</t>
  </si>
  <si>
    <t>→</t>
  </si>
  <si>
    <t xml:space="preserve">The suction pumping should be as short &amp; straight as possible. It should not </t>
  </si>
  <si>
    <t>be greater than ( &gt; )</t>
  </si>
  <si>
    <t>for centrifugal pump.</t>
  </si>
  <si>
    <t>water is converted into vapour &amp; thus inspite of creating water head, vapour</t>
  </si>
  <si>
    <t>head is created &amp; pump ceases to fuction.</t>
  </si>
  <si>
    <t>i)</t>
  </si>
  <si>
    <t>ii)</t>
  </si>
  <si>
    <t>iii)</t>
  </si>
  <si>
    <t>iv)</t>
  </si>
  <si>
    <t>Buoyancy Operated pumps</t>
  </si>
  <si>
    <t>Impulse Operated pumps</t>
  </si>
  <si>
    <t>Velocity Adoptions  pumps</t>
  </si>
  <si>
    <t>Type of duty required.</t>
  </si>
  <si>
    <t>Present &amp; projected demand &amp; pattern and change in demand.</t>
  </si>
  <si>
    <t>The details of head &amp; flow rate required.</t>
  </si>
  <si>
    <t>Selecting the operating speed of the pump &amp; suitable drive.</t>
  </si>
  <si>
    <t>♥</t>
  </si>
  <si>
    <r>
      <t>The following criteria govern pump selection</t>
    </r>
    <r>
      <rPr>
        <b/>
        <i/>
        <sz val="11"/>
        <color theme="1"/>
        <rFont val="Times New Roman"/>
        <family val="1"/>
      </rPr>
      <t xml:space="preserve"> : -</t>
    </r>
  </si>
  <si>
    <r>
      <t>The following four types of pumps are generally used</t>
    </r>
    <r>
      <rPr>
        <b/>
        <i/>
        <sz val="11"/>
        <color theme="1"/>
        <rFont val="Times New Roman"/>
        <family val="1"/>
      </rPr>
      <t xml:space="preserve"> -</t>
    </r>
  </si>
  <si>
    <t>Diameter of Rising Main</t>
  </si>
  <si>
    <t>Discharge ( Q )</t>
  </si>
  <si>
    <t>Economical Diameter ( d )</t>
  </si>
  <si>
    <t>Say ≡</t>
  </si>
  <si>
    <t xml:space="preserve">Positive Displacement Pumps </t>
  </si>
  <si>
    <t xml:space="preserve">Suction head should not be greater than </t>
  </si>
  <si>
    <t>Velocity of flow length</t>
  </si>
  <si>
    <t>Frictional Losses in Rising Main -</t>
  </si>
  <si>
    <t>Velocity ( Assuming )</t>
  </si>
  <si>
    <t>Head Loss</t>
  </si>
  <si>
    <t>Here :</t>
  </si>
  <si>
    <t>f</t>
  </si>
  <si>
    <t>L</t>
  </si>
  <si>
    <t>Hence Provide d =</t>
  </si>
  <si>
    <r>
      <t xml:space="preserve">»  </t>
    </r>
    <r>
      <rPr>
        <b/>
        <sz val="11"/>
        <color theme="1"/>
        <rFont val="Times New Roman"/>
        <family val="1"/>
      </rPr>
      <t xml:space="preserve">h </t>
    </r>
    <r>
      <rPr>
        <b/>
        <vertAlign val="subscript"/>
        <sz val="11"/>
        <color theme="1"/>
        <rFont val="Times New Roman"/>
        <family val="1"/>
      </rPr>
      <t xml:space="preserve">f </t>
    </r>
    <r>
      <rPr>
        <b/>
        <sz val="11"/>
        <color theme="1"/>
        <rFont val="Times New Roman"/>
        <family val="1"/>
      </rPr>
      <t xml:space="preserve"> =</t>
    </r>
  </si>
  <si>
    <t xml:space="preserve">g </t>
  </si>
  <si>
    <r>
      <t>Head required (</t>
    </r>
    <r>
      <rPr>
        <b/>
        <sz val="11"/>
        <color theme="1"/>
        <rFont val="Times New Roman"/>
        <family val="1"/>
      </rPr>
      <t xml:space="preserve"> h </t>
    </r>
    <r>
      <rPr>
        <b/>
        <vertAlign val="subscript"/>
        <sz val="11"/>
        <color theme="1"/>
        <rFont val="Times New Roman"/>
        <family val="1"/>
      </rPr>
      <t>d</t>
    </r>
    <r>
      <rPr>
        <b/>
        <sz val="11"/>
        <color theme="1"/>
        <rFont val="Times New Roman"/>
        <family val="1"/>
      </rPr>
      <t xml:space="preserve"> </t>
    </r>
    <r>
      <rPr>
        <sz val="11"/>
        <color theme="1"/>
        <rFont val="Times New Roman"/>
        <family val="1"/>
      </rPr>
      <t>)</t>
    </r>
  </si>
  <si>
    <t>Minor Losses should be assuming</t>
  </si>
  <si>
    <t>Assuming</t>
  </si>
  <si>
    <t>in Parallel is working</t>
  </si>
  <si>
    <t>If ƞ</t>
  </si>
  <si>
    <t>e)</t>
  </si>
  <si>
    <t>Pumps Capacity</t>
  </si>
  <si>
    <t>Diameter of Pipe</t>
  </si>
  <si>
    <t xml:space="preserve">The efficiency of the pumps &amp; consequent influence on power consumption and the </t>
  </si>
  <si>
    <t>running costs.</t>
  </si>
  <si>
    <t>Design of Rising Main</t>
  </si>
  <si>
    <t>General</t>
  </si>
  <si>
    <t>These are the pressure pipes used to convey the water from jack well to the treatment units.</t>
  </si>
  <si>
    <t>The design of rising main is dependent on resistance to flow, available head, allowable velocities of flow, sediment transport, quality of water &amp; relative cost.</t>
  </si>
  <si>
    <t>Various types of pipes used are cast iron, steel, R.C.C, P.C.C, asbestos cement, polyethylene, rigid PVC, iron fibre glass pipe, glass reinforced plastic etc.</t>
  </si>
  <si>
    <t>The determination of the suitability in all respects of the pipe of joints for any work is a matter of decision by the engineer concerned on the basis of requirements of the scheme.</t>
  </si>
  <si>
    <t xml:space="preserve"> Permissible Velocity in Mains</t>
  </si>
  <si>
    <t xml:space="preserve">Mains Diameter should be less than ( &lt; ) of </t>
  </si>
  <si>
    <t>Total Discharge in Mains</t>
  </si>
  <si>
    <t>Diameter of Mains Pipe</t>
  </si>
  <si>
    <t>Treatment Units - Design Of Aeration Unit</t>
  </si>
  <si>
    <t>Aeration unit</t>
  </si>
  <si>
    <t>Aeration is necessary to promote the exchange of gases between the water &amp; the atmosphere. In water treatment, aeration is practiced for three puposes  :</t>
  </si>
  <si>
    <t>To add oxygen to water for imparting freshness, e.g. water from under ground sources devoid of or deficient in oxygen.</t>
  </si>
  <si>
    <r>
      <t xml:space="preserve">Expulsion of </t>
    </r>
    <r>
      <rPr>
        <b/>
        <sz val="11"/>
        <color theme="1"/>
        <rFont val="Times New Roman"/>
        <family val="1"/>
      </rPr>
      <t xml:space="preserve">CO </t>
    </r>
    <r>
      <rPr>
        <b/>
        <vertAlign val="subscript"/>
        <sz val="11"/>
        <color theme="1"/>
        <rFont val="Times New Roman"/>
        <family val="1"/>
      </rPr>
      <t>2</t>
    </r>
    <r>
      <rPr>
        <b/>
        <sz val="11"/>
        <color theme="1"/>
        <rFont val="Times New Roman"/>
        <family val="1"/>
      </rPr>
      <t xml:space="preserve">, H </t>
    </r>
    <r>
      <rPr>
        <b/>
        <vertAlign val="subscript"/>
        <sz val="11"/>
        <color theme="1"/>
        <rFont val="Times New Roman"/>
        <family val="1"/>
      </rPr>
      <t>2</t>
    </r>
    <r>
      <rPr>
        <b/>
        <sz val="11"/>
        <color theme="1"/>
        <rFont val="Times New Roman"/>
        <family val="1"/>
      </rPr>
      <t xml:space="preserve"> S</t>
    </r>
    <r>
      <rPr>
        <sz val="11"/>
        <color theme="1"/>
        <rFont val="Times New Roman"/>
        <family val="1"/>
      </rPr>
      <t xml:space="preserve"> &amp; other volatile substances causing taste and odour, e.g. water from deeper layers of an impounding reservoir.</t>
    </r>
  </si>
  <si>
    <t>To precipitate impurities like iron and manganese, in certain forms, e.g. water from some under ground sources.</t>
  </si>
  <si>
    <t>The Concentration of gases in a liquid generally obeys Henry's Law which states that the concentration of each gas in water is directly proportional to the partial pressure or concentration of gas in the atmoshere in contact with water. The saturation concentration of a gas decreases with temperature &amp; dissolved salts in water. Aeration tends to accelerate the gas exchange.</t>
  </si>
  <si>
    <t>The three types of aerators are :</t>
  </si>
  <si>
    <t>Water Fall or Multiple Tray Aerators</t>
  </si>
  <si>
    <t>Cascade Aerators</t>
  </si>
  <si>
    <t>Diiffused Air Aerators</t>
  </si>
  <si>
    <t>Design Criteria For Cascade Aerators</t>
  </si>
  <si>
    <t>Number of Trays</t>
  </si>
  <si>
    <t>Spacing of trays</t>
  </si>
  <si>
    <t>Height of the Structure</t>
  </si>
  <si>
    <t>Space Requirement</t>
  </si>
  <si>
    <r>
      <rPr>
        <vertAlign val="superscript"/>
        <sz val="11"/>
        <color theme="1"/>
        <rFont val="Times New Roman"/>
        <family val="1"/>
      </rPr>
      <t>2</t>
    </r>
    <r>
      <rPr>
        <sz val="11"/>
        <color theme="1"/>
        <rFont val="Times New Roman"/>
        <family val="1"/>
      </rPr>
      <t xml:space="preserve"> / m </t>
    </r>
    <r>
      <rPr>
        <vertAlign val="superscript"/>
        <sz val="11"/>
        <color theme="1"/>
        <rFont val="Times New Roman"/>
        <family val="1"/>
      </rPr>
      <t>3</t>
    </r>
    <r>
      <rPr>
        <sz val="11"/>
        <color theme="1"/>
        <rFont val="Times New Roman"/>
        <family val="1"/>
      </rPr>
      <t xml:space="preserve"> / hr.</t>
    </r>
  </si>
  <si>
    <t>Disharge</t>
  </si>
  <si>
    <r>
      <t xml:space="preserve">( Q </t>
    </r>
    <r>
      <rPr>
        <vertAlign val="subscript"/>
        <sz val="11"/>
        <color theme="1"/>
        <rFont val="Times New Roman"/>
        <family val="1"/>
      </rPr>
      <t xml:space="preserve">max. </t>
    </r>
    <r>
      <rPr>
        <sz val="11"/>
        <color theme="1"/>
        <rFont val="Times New Roman"/>
        <family val="1"/>
      </rPr>
      <t>)</t>
    </r>
  </si>
  <si>
    <t>Provide Area at Tray</t>
  </si>
  <si>
    <t>Diameter of bottom most tray</t>
  </si>
  <si>
    <t>Rise of each Tray</t>
  </si>
  <si>
    <t>Tread of each tray</t>
  </si>
  <si>
    <t>Inlet</t>
  </si>
  <si>
    <r>
      <t xml:space="preserve">ɸ </t>
    </r>
    <r>
      <rPr>
        <vertAlign val="subscript"/>
        <sz val="11"/>
        <color theme="1"/>
        <rFont val="Times New Roman"/>
        <family val="1"/>
      </rPr>
      <t>5</t>
    </r>
    <r>
      <rPr>
        <sz val="11"/>
        <color theme="1"/>
        <rFont val="Times New Roman"/>
        <family val="1"/>
      </rPr>
      <t xml:space="preserve"> =</t>
    </r>
  </si>
  <si>
    <r>
      <t xml:space="preserve">ɸ </t>
    </r>
    <r>
      <rPr>
        <vertAlign val="subscript"/>
        <sz val="11"/>
        <color theme="1"/>
        <rFont val="Times New Roman"/>
        <family val="1"/>
      </rPr>
      <t>4</t>
    </r>
    <r>
      <rPr>
        <sz val="11"/>
        <color theme="1"/>
        <rFont val="Times New Roman"/>
        <family val="1"/>
      </rPr>
      <t xml:space="preserve"> =</t>
    </r>
  </si>
  <si>
    <r>
      <t xml:space="preserve">ɸ </t>
    </r>
    <r>
      <rPr>
        <vertAlign val="subscript"/>
        <sz val="11"/>
        <color theme="1"/>
        <rFont val="Times New Roman"/>
        <family val="1"/>
      </rPr>
      <t>3</t>
    </r>
    <r>
      <rPr>
        <sz val="11"/>
        <color theme="1"/>
        <rFont val="Times New Roman"/>
        <family val="1"/>
      </rPr>
      <t xml:space="preserve"> =</t>
    </r>
  </si>
  <si>
    <r>
      <t xml:space="preserve">ɸ </t>
    </r>
    <r>
      <rPr>
        <vertAlign val="subscript"/>
        <sz val="11"/>
        <color theme="1"/>
        <rFont val="Times New Roman"/>
        <family val="1"/>
      </rPr>
      <t>2</t>
    </r>
    <r>
      <rPr>
        <sz val="11"/>
        <color theme="1"/>
        <rFont val="Times New Roman"/>
        <family val="1"/>
      </rPr>
      <t xml:space="preserve"> =</t>
    </r>
  </si>
  <si>
    <r>
      <t xml:space="preserve">ɸ </t>
    </r>
    <r>
      <rPr>
        <vertAlign val="subscript"/>
        <sz val="11"/>
        <color theme="1"/>
        <rFont val="Times New Roman"/>
        <family val="1"/>
      </rPr>
      <t>1</t>
    </r>
    <r>
      <rPr>
        <sz val="11"/>
        <color theme="1"/>
        <rFont val="Times New Roman"/>
        <family val="1"/>
      </rPr>
      <t xml:space="preserve"> =</t>
    </r>
  </si>
  <si>
    <t>R.L.</t>
  </si>
  <si>
    <t>Design Of Chemical House &amp; Calculation Of Chemical Dose</t>
  </si>
  <si>
    <t>Alum Dose for Coagulation</t>
  </si>
  <si>
    <t>The terms coagulation &amp; flocculation are used indiscriminately to describe the process of removal of turbidity caused by the suspension colloids &amp; organic colors.</t>
  </si>
  <si>
    <t>The coagulant dose in the field should be judiciously controlled in the light of the jar test values. Alum is used as coagulant.</t>
  </si>
  <si>
    <t>Design Criteria for Alum Dose</t>
  </si>
  <si>
    <t>Alum required in particular season is given below :</t>
  </si>
  <si>
    <t>Monsoon</t>
  </si>
  <si>
    <t>Winter</t>
  </si>
  <si>
    <t>Summer</t>
  </si>
  <si>
    <t>Alum required</t>
  </si>
  <si>
    <t>Let the average dose of alum required be</t>
  </si>
  <si>
    <t>in the</t>
  </si>
  <si>
    <t>seasons respectively.</t>
  </si>
  <si>
    <t>Kg / Day</t>
  </si>
  <si>
    <t>months</t>
  </si>
  <si>
    <t>Number of Bags when 1 bag is containing =</t>
  </si>
  <si>
    <t>Bags</t>
  </si>
  <si>
    <t>each heep</t>
  </si>
  <si>
    <t>² ,</t>
  </si>
  <si>
    <t>then total area required =</t>
  </si>
  <si>
    <t>Lime - Soda Process</t>
  </si>
  <si>
    <t xml:space="preserve">and suitable for water containing turbidity, </t>
  </si>
  <si>
    <t>Design Criteria For Lime-Soda Process</t>
  </si>
  <si>
    <t>total hardness by this process.</t>
  </si>
  <si>
    <t>Lime &amp; Soda Required :-</t>
  </si>
  <si>
    <t>→ Lime required for alkalinity.</t>
  </si>
  <si>
    <t xml:space="preserve">Molecular Weight of </t>
  </si>
  <si>
    <r>
      <t>C</t>
    </r>
    <r>
      <rPr>
        <b/>
        <vertAlign val="subscript"/>
        <sz val="11"/>
        <color theme="1"/>
        <rFont val="Times New Roman"/>
        <family val="1"/>
      </rPr>
      <t>a</t>
    </r>
    <r>
      <rPr>
        <b/>
        <sz val="11"/>
        <color theme="1"/>
        <rFont val="Times New Roman"/>
        <family val="1"/>
      </rPr>
      <t xml:space="preserve"> C O</t>
    </r>
    <r>
      <rPr>
        <b/>
        <vertAlign val="subscript"/>
        <sz val="11"/>
        <color theme="1"/>
        <rFont val="Times New Roman"/>
        <family val="1"/>
      </rPr>
      <t>3</t>
    </r>
  </si>
  <si>
    <r>
      <t>C</t>
    </r>
    <r>
      <rPr>
        <b/>
        <vertAlign val="subscript"/>
        <sz val="11"/>
        <color theme="1"/>
        <rFont val="Times New Roman"/>
        <family val="1"/>
      </rPr>
      <t>a</t>
    </r>
    <r>
      <rPr>
        <b/>
        <sz val="11"/>
        <color theme="1"/>
        <rFont val="Times New Roman"/>
        <family val="1"/>
      </rPr>
      <t xml:space="preserve"> O</t>
    </r>
  </si>
  <si>
    <t>alkalinity requires</t>
  </si>
  <si>
    <r>
      <t>C</t>
    </r>
    <r>
      <rPr>
        <b/>
        <vertAlign val="subscript"/>
        <sz val="11"/>
        <color theme="1"/>
        <rFont val="Times New Roman"/>
        <family val="1"/>
      </rPr>
      <t xml:space="preserve">a </t>
    </r>
    <r>
      <rPr>
        <b/>
        <sz val="11"/>
        <color theme="1"/>
        <rFont val="Times New Roman"/>
        <family val="1"/>
      </rPr>
      <t>O</t>
    </r>
  </si>
  <si>
    <t>→ Lime required for Magnesium</t>
  </si>
  <si>
    <r>
      <t xml:space="preserve">Magnesium ( M </t>
    </r>
    <r>
      <rPr>
        <vertAlign val="subscript"/>
        <sz val="11"/>
        <color theme="1"/>
        <rFont val="Times New Roman"/>
        <family val="1"/>
      </rPr>
      <t>n</t>
    </r>
    <r>
      <rPr>
        <sz val="11"/>
        <color theme="1"/>
        <rFont val="Times New Roman"/>
        <family val="1"/>
      </rPr>
      <t xml:space="preserve"> )</t>
    </r>
  </si>
  <si>
    <t>requires</t>
  </si>
  <si>
    <t>mg / L of</t>
  </si>
  <si>
    <t>Hence, the total pure lime required</t>
  </si>
  <si>
    <t xml:space="preserve">of Pure Lime ( Ca O ) is equivalent to </t>
  </si>
  <si>
    <t>of hydrated lime.</t>
  </si>
  <si>
    <t>Hence hydrated Lime is required</t>
  </si>
  <si>
    <t>Soda is required for non - carbonate hardness, as follows -</t>
  </si>
  <si>
    <t>Non Carbonate Hardness ( NCH ) requires</t>
  </si>
  <si>
    <r>
      <t xml:space="preserve">Na </t>
    </r>
    <r>
      <rPr>
        <b/>
        <vertAlign val="subscript"/>
        <sz val="11"/>
        <color theme="1"/>
        <rFont val="Times New Roman"/>
        <family val="1"/>
      </rPr>
      <t>2</t>
    </r>
    <r>
      <rPr>
        <b/>
        <sz val="11"/>
        <color theme="1"/>
        <rFont val="Times New Roman"/>
        <family val="1"/>
      </rPr>
      <t xml:space="preserve"> C O</t>
    </r>
    <r>
      <rPr>
        <b/>
        <vertAlign val="subscript"/>
        <sz val="11"/>
        <color theme="1"/>
        <rFont val="Times New Roman"/>
        <family val="1"/>
      </rPr>
      <t xml:space="preserve"> 3</t>
    </r>
  </si>
  <si>
    <t>NCH requires</t>
  </si>
  <si>
    <t>Total Quantity of Lime</t>
  </si>
  <si>
    <t>( One Bag contains =</t>
  </si>
  <si>
    <t>Number of Bags required</t>
  </si>
  <si>
    <r>
      <t xml:space="preserve">Na </t>
    </r>
    <r>
      <rPr>
        <b/>
        <vertAlign val="subscript"/>
        <sz val="10"/>
        <color theme="1"/>
        <rFont val="Times New Roman"/>
        <family val="1"/>
      </rPr>
      <t>2</t>
    </r>
    <r>
      <rPr>
        <b/>
        <sz val="10"/>
        <color theme="1"/>
        <rFont val="Times New Roman"/>
        <family val="1"/>
      </rPr>
      <t xml:space="preserve"> C O</t>
    </r>
    <r>
      <rPr>
        <b/>
        <vertAlign val="subscript"/>
        <sz val="10"/>
        <color theme="1"/>
        <rFont val="Times New Roman"/>
        <family val="1"/>
      </rPr>
      <t xml:space="preserve"> 3</t>
    </r>
  </si>
  <si>
    <t>no. of heeps</t>
  </si>
  <si>
    <t>² , then total area required =</t>
  </si>
  <si>
    <r>
      <rPr>
        <b/>
        <u/>
        <sz val="11"/>
        <color theme="1"/>
        <rFont val="Times New Roman"/>
        <family val="1"/>
      </rPr>
      <t>Soda</t>
    </r>
    <r>
      <rPr>
        <b/>
        <sz val="11"/>
        <color theme="1"/>
        <rFont val="Times New Roman"/>
        <family val="1"/>
      </rPr>
      <t xml:space="preserve"> ( Na </t>
    </r>
    <r>
      <rPr>
        <b/>
        <vertAlign val="subscript"/>
        <sz val="11"/>
        <color theme="1"/>
        <rFont val="Times New Roman"/>
        <family val="1"/>
      </rPr>
      <t>2</t>
    </r>
    <r>
      <rPr>
        <b/>
        <sz val="11"/>
        <color theme="1"/>
        <rFont val="Times New Roman"/>
        <family val="1"/>
      </rPr>
      <t xml:space="preserve"> C O </t>
    </r>
    <r>
      <rPr>
        <b/>
        <vertAlign val="subscript"/>
        <sz val="11"/>
        <color theme="1"/>
        <rFont val="Times New Roman"/>
        <family val="1"/>
      </rPr>
      <t>3</t>
    </r>
    <r>
      <rPr>
        <b/>
        <sz val="11"/>
        <color theme="1"/>
        <rFont val="Times New Roman"/>
        <family val="1"/>
      </rPr>
      <t xml:space="preserve"> )</t>
    </r>
  </si>
  <si>
    <t>Total Quantity of Soda required for 6 months</t>
  </si>
  <si>
    <t>Total Area for all Chemicals</t>
  </si>
  <si>
    <t>for chlorine storage, chlorine cylinders etc.</t>
  </si>
  <si>
    <t>hence total Area =</t>
  </si>
  <si>
    <t>Hence Provide room Dimension :</t>
  </si>
  <si>
    <t>Length =</t>
  </si>
  <si>
    <t>Width =</t>
  </si>
  <si>
    <t>Room Area</t>
  </si>
  <si>
    <t>Chemical Dissolving Tanks :</t>
  </si>
  <si>
    <t>Total quantity of Alum, Lime &amp; Soda</t>
  </si>
  <si>
    <t>Total quantity of Alum, Lime &amp; Soda / Day</t>
  </si>
  <si>
    <t>alum</t>
  </si>
  <si>
    <t>lime</t>
  </si>
  <si>
    <t>soda</t>
  </si>
  <si>
    <t>Chemical Solution Tanks :</t>
  </si>
  <si>
    <t>Hence Solution required per day</t>
  </si>
  <si>
    <t>Liter / Day</t>
  </si>
  <si>
    <t>Liter / Min</t>
  </si>
  <si>
    <t>Quantity of solution for</t>
  </si>
  <si>
    <t>Assuming Depth of Tank =</t>
  </si>
  <si>
    <t>&amp; Free Board</t>
  </si>
  <si>
    <t>Dimension of Solution Tank</t>
  </si>
  <si>
    <t>Volume of Solution Tank</t>
  </si>
  <si>
    <t>Per Day Alum Required</t>
  </si>
  <si>
    <t>Hydrated Lime Required</t>
  </si>
  <si>
    <t>Soda required</t>
  </si>
  <si>
    <t>Size of Chemical Dissolving tanks</t>
  </si>
  <si>
    <t>Size of Chemical Solution tanks</t>
  </si>
  <si>
    <t>A water is said to be hard, when it does not form leather readily with soap. The hardness of</t>
  </si>
  <si>
    <t xml:space="preserve"> water is due to the presence of Calcium and Magnesium ions in most of the cases.  The method</t>
  </si>
  <si>
    <t xml:space="preserve"> water with high initial hardness</t>
  </si>
  <si>
    <t xml:space="preserve"> generally used are Lime-Soda process. Softening with these chemicals  is used  particularly for</t>
  </si>
  <si>
    <t>colour and iron salts. Lime -Soda softening con not reduce the hardness to value less</t>
  </si>
  <si>
    <t>Design Criteria for Mechanical Rapid Mix Unit</t>
  </si>
  <si>
    <t>Detention Time</t>
  </si>
  <si>
    <t>Depth</t>
  </si>
  <si>
    <t>Power Required</t>
  </si>
  <si>
    <t>Impeller Speed</t>
  </si>
  <si>
    <t>Loss of Head</t>
  </si>
  <si>
    <r>
      <rPr>
        <b/>
        <vertAlign val="superscript"/>
        <sz val="11"/>
        <color theme="1"/>
        <rFont val="Times New Roman"/>
        <family val="1"/>
      </rPr>
      <t>3</t>
    </r>
    <r>
      <rPr>
        <b/>
        <sz val="11"/>
        <color theme="1"/>
        <rFont val="Times New Roman"/>
        <family val="1"/>
      </rPr>
      <t xml:space="preserve"> / Day</t>
    </r>
  </si>
  <si>
    <t>Mixing device be capable of creating a velocity gradiend</t>
  </si>
  <si>
    <t>/ sec / m depth</t>
  </si>
  <si>
    <t>Ratio of impeller diameter to tank diameter =</t>
  </si>
  <si>
    <t>Ratio of Tank Height to diameter</t>
  </si>
  <si>
    <t>Design Flow</t>
  </si>
  <si>
    <r>
      <t xml:space="preserve">m </t>
    </r>
    <r>
      <rPr>
        <vertAlign val="superscript"/>
        <sz val="11"/>
        <color theme="1"/>
        <rFont val="Times New Roman"/>
        <family val="1"/>
      </rPr>
      <t xml:space="preserve">3 </t>
    </r>
    <r>
      <rPr>
        <sz val="11"/>
        <color theme="1"/>
        <rFont val="Times New Roman"/>
        <family val="1"/>
      </rPr>
      <t>/ Day</t>
    </r>
  </si>
  <si>
    <t>( 24 x 60 x 60 )</t>
  </si>
  <si>
    <t>Assume Temperature</t>
  </si>
  <si>
    <r>
      <rPr>
        <vertAlign val="superscript"/>
        <sz val="11"/>
        <color theme="1"/>
        <rFont val="Times New Roman"/>
        <family val="1"/>
      </rPr>
      <t>0</t>
    </r>
    <r>
      <rPr>
        <sz val="11"/>
        <color theme="1"/>
        <rFont val="Times New Roman"/>
        <family val="1"/>
      </rPr>
      <t xml:space="preserve"> C</t>
    </r>
  </si>
  <si>
    <t>Dimension of Tank :</t>
  </si>
  <si>
    <t>Volume</t>
  </si>
  <si>
    <t>Diameter D</t>
  </si>
  <si>
    <t>Height of Tank</t>
  </si>
  <si>
    <t>( Π / 4 )</t>
  </si>
  <si>
    <t>(Say)</t>
  </si>
  <si>
    <t>Tank free board</t>
  </si>
  <si>
    <t>Total Height of Tank</t>
  </si>
  <si>
    <t>Power Requirement :</t>
  </si>
  <si>
    <t>Power Spend</t>
  </si>
  <si>
    <t>Dimensions of Flat Blade &amp; Impeller :</t>
  </si>
  <si>
    <t>Diameter of Impeller</t>
  </si>
  <si>
    <t>Area of Blade</t>
  </si>
  <si>
    <r>
      <t xml:space="preserve">A </t>
    </r>
    <r>
      <rPr>
        <b/>
        <vertAlign val="subscript"/>
        <sz val="11"/>
        <color theme="1"/>
        <rFont val="Times New Roman"/>
        <family val="1"/>
      </rPr>
      <t>B</t>
    </r>
  </si>
  <si>
    <t xml:space="preserve">Power Spent </t>
  </si>
  <si>
    <r>
      <t xml:space="preserve">Let C </t>
    </r>
    <r>
      <rPr>
        <vertAlign val="subscript"/>
        <sz val="11"/>
        <color theme="1"/>
        <rFont val="Times New Roman"/>
        <family val="1"/>
      </rPr>
      <t>D</t>
    </r>
    <r>
      <rPr>
        <sz val="11"/>
        <color theme="1"/>
        <rFont val="Times New Roman"/>
        <family val="1"/>
      </rPr>
      <t xml:space="preserve"> =</t>
    </r>
  </si>
  <si>
    <r>
      <t xml:space="preserve">and V </t>
    </r>
    <r>
      <rPr>
        <vertAlign val="subscript"/>
        <sz val="11"/>
        <color theme="1"/>
        <rFont val="Times New Roman"/>
        <family val="1"/>
      </rPr>
      <t>R</t>
    </r>
    <r>
      <rPr>
        <sz val="11"/>
        <color theme="1"/>
        <rFont val="Times New Roman"/>
        <family val="1"/>
      </rPr>
      <t xml:space="preserve"> =</t>
    </r>
  </si>
  <si>
    <r>
      <t xml:space="preserve">( 3/4 ) x V </t>
    </r>
    <r>
      <rPr>
        <vertAlign val="subscript"/>
        <sz val="11"/>
        <color theme="1"/>
        <rFont val="Times New Roman"/>
        <family val="1"/>
      </rPr>
      <t>T</t>
    </r>
  </si>
  <si>
    <r>
      <t xml:space="preserve">Velocity of Tip Impeller ( </t>
    </r>
    <r>
      <rPr>
        <b/>
        <sz val="11"/>
        <color theme="1"/>
        <rFont val="Times New Roman"/>
        <family val="1"/>
      </rPr>
      <t xml:space="preserve">V </t>
    </r>
    <r>
      <rPr>
        <b/>
        <vertAlign val="subscript"/>
        <sz val="11"/>
        <color theme="1"/>
        <rFont val="Times New Roman"/>
        <family val="1"/>
      </rPr>
      <t>T</t>
    </r>
    <r>
      <rPr>
        <b/>
        <sz val="11"/>
        <color theme="1"/>
        <rFont val="Times New Roman"/>
        <family val="1"/>
      </rPr>
      <t xml:space="preserve"> </t>
    </r>
    <r>
      <rPr>
        <sz val="11"/>
        <color theme="1"/>
        <rFont val="Times New Roman"/>
        <family val="1"/>
      </rPr>
      <t>)</t>
    </r>
  </si>
  <si>
    <r>
      <t xml:space="preserve">A </t>
    </r>
    <r>
      <rPr>
        <vertAlign val="subscript"/>
        <sz val="11"/>
        <color theme="1"/>
        <rFont val="Times New Roman"/>
        <family val="1"/>
      </rPr>
      <t>B</t>
    </r>
    <r>
      <rPr>
        <sz val="11"/>
        <color theme="1"/>
        <rFont val="Times New Roman"/>
        <family val="1"/>
      </rPr>
      <t xml:space="preserve"> x (</t>
    </r>
  </si>
  <si>
    <t xml:space="preserve">3/4 ) x </t>
  </si>
  <si>
    <r>
      <t xml:space="preserve">A </t>
    </r>
    <r>
      <rPr>
        <b/>
        <vertAlign val="subscript"/>
        <sz val="11"/>
        <color theme="1"/>
        <rFont val="Times New Roman"/>
        <family val="1"/>
      </rPr>
      <t>B</t>
    </r>
    <r>
      <rPr>
        <b/>
        <sz val="11"/>
        <color theme="1"/>
        <rFont val="Times New Roman"/>
        <family val="1"/>
      </rPr>
      <t xml:space="preserve"> =</t>
    </r>
  </si>
  <si>
    <t>Hence Provide</t>
  </si>
  <si>
    <t xml:space="preserve">Blades of </t>
  </si>
  <si>
    <t>Area of Blade Provided =</t>
  </si>
  <si>
    <t>Provide</t>
  </si>
  <si>
    <t>projecting</t>
  </si>
  <si>
    <t>Ratio of impeller dia. to tank dia. =</t>
  </si>
  <si>
    <t xml:space="preserve">Provide Inlet &amp; Outlet Pipes of </t>
  </si>
  <si>
    <t>diameter.</t>
  </si>
  <si>
    <t>Speed of impeller</t>
  </si>
  <si>
    <t>Number of Blade</t>
  </si>
  <si>
    <t>Diameter of Inlet &amp; Outlet Pipes</t>
  </si>
  <si>
    <t>Number of Baffles</t>
  </si>
  <si>
    <t>Design Of Clariflocculator</t>
  </si>
  <si>
    <t xml:space="preserve"> Clariflocculator</t>
  </si>
  <si>
    <t>The coagulation &amp; sedimentation processes are effectively incorporated in a single unit in the Clariflocculator. Sometimes clarifier &amp;  Clariflocculator are designed as separate units.</t>
  </si>
  <si>
    <t>All these units consists of 2 or 4 flocculating paddles placed equidistantly. These paddles rotate on their vertical axis. The flocculating paddles may be of rotor-stator type. Rotating in opposite direction above the vertical axis. The clarification unit outside the flocculation compartment is served by inwardly raking rotating blades. The water mixed with chemical is fed in the flocculator compartment fitted with paddles rotating at low speeds thus forming flocs.</t>
  </si>
  <si>
    <t>The flocculated water passes out from the bottom of the flocculation tank to the clarifying zone through a wide opening. The area of the opening being large enough to maintain a very low velocity. Under quiescent conditions, in the annular setting zone the floc embedding the suspended particles settle to the bottom &amp; the clear effluent overflows into the peripheral launder.</t>
  </si>
  <si>
    <t>Design Criteria : ( Flocculator )</t>
  </si>
  <si>
    <t>Depth of Tank</t>
  </si>
  <si>
    <t>Total Area of Paddles</t>
  </si>
  <si>
    <t>Range of peripheral velocities of blades</t>
  </si>
  <si>
    <t>Velocity Gradient ( G )</t>
  </si>
  <si>
    <r>
      <t xml:space="preserve">Dimension Less Factor G </t>
    </r>
    <r>
      <rPr>
        <vertAlign val="subscript"/>
        <sz val="11"/>
        <color theme="1"/>
        <rFont val="Times New Roman"/>
        <family val="1"/>
      </rPr>
      <t>t</t>
    </r>
  </si>
  <si>
    <r>
      <rPr>
        <vertAlign val="superscript"/>
        <sz val="11"/>
        <color rgb="FFFF0000"/>
        <rFont val="Times New Roman"/>
        <family val="1"/>
      </rPr>
      <t>5</t>
    </r>
  </si>
  <si>
    <t>Power Consumption</t>
  </si>
  <si>
    <t>Outlet Velocity</t>
  </si>
  <si>
    <t>Design Criteria : ( Clarifier )</t>
  </si>
  <si>
    <r>
      <rPr>
        <vertAlign val="superscript"/>
        <sz val="11"/>
        <color theme="1"/>
        <rFont val="Times New Roman"/>
        <family val="1"/>
      </rPr>
      <t>3</t>
    </r>
    <r>
      <rPr>
        <sz val="11"/>
        <color theme="1"/>
        <rFont val="Times New Roman"/>
        <family val="1"/>
      </rPr>
      <t xml:space="preserve"> / m </t>
    </r>
    <r>
      <rPr>
        <vertAlign val="superscript"/>
        <sz val="11"/>
        <color theme="1"/>
        <rFont val="Times New Roman"/>
        <family val="1"/>
      </rPr>
      <t xml:space="preserve">2 </t>
    </r>
    <r>
      <rPr>
        <sz val="11"/>
        <color theme="1"/>
        <rFont val="Times New Roman"/>
        <family val="1"/>
      </rPr>
      <t>/ Day</t>
    </r>
  </si>
  <si>
    <t>Depth of Water</t>
  </si>
  <si>
    <t>Weir Loading</t>
  </si>
  <si>
    <t>Storage of Sludge</t>
  </si>
  <si>
    <t>Floor Slope</t>
  </si>
  <si>
    <t>for mechanically cleaned tank</t>
  </si>
  <si>
    <t>Slope for Sludge Hopper</t>
  </si>
  <si>
    <t>( V : H )</t>
  </si>
  <si>
    <t>Scraper Velocity</t>
  </si>
  <si>
    <t>Velocity of water at outlet chamber</t>
  </si>
  <si>
    <t>Assumption</t>
  </si>
  <si>
    <t>Average Outflow from clariflocculator</t>
  </si>
  <si>
    <r>
      <rPr>
        <vertAlign val="superscript"/>
        <sz val="11"/>
        <color theme="1"/>
        <rFont val="Times New Roman"/>
        <family val="1"/>
      </rPr>
      <t xml:space="preserve">3 </t>
    </r>
    <r>
      <rPr>
        <sz val="11"/>
        <color theme="1"/>
        <rFont val="Times New Roman"/>
        <family val="1"/>
      </rPr>
      <t>/ hour</t>
    </r>
  </si>
  <si>
    <t xml:space="preserve"> Flow of Water Required Hourly =</t>
  </si>
  <si>
    <t>Water Lost in desludging</t>
  </si>
  <si>
    <t>Design Average Period</t>
  </si>
  <si>
    <t>Detention Period</t>
  </si>
  <si>
    <t>Average Value of Velocity Gradient</t>
  </si>
  <si>
    <t>Design Of Influent Pipe</t>
  </si>
  <si>
    <t>Hence Diameter ( d ) =</t>
  </si>
  <si>
    <r>
      <rPr>
        <b/>
        <vertAlign val="superscript"/>
        <sz val="11"/>
        <color theme="1"/>
        <rFont val="Times New Roman"/>
        <family val="1"/>
      </rPr>
      <t>1/2</t>
    </r>
  </si>
  <si>
    <t xml:space="preserve">Provide an influent pipes of </t>
  </si>
  <si>
    <t>Design Of Flocculatior : Wall</t>
  </si>
  <si>
    <t>Volume of flocculator</t>
  </si>
  <si>
    <t>Provide a Water Depth</t>
  </si>
  <si>
    <t>Plan Area of flocculator</t>
  </si>
  <si>
    <t>Diameter of Flocculator ( D )</t>
  </si>
  <si>
    <r>
      <t xml:space="preserve">Diameter of Inlet Pipes ( D </t>
    </r>
    <r>
      <rPr>
        <vertAlign val="subscript"/>
        <sz val="11"/>
        <color theme="1"/>
        <rFont val="Times New Roman"/>
        <family val="1"/>
      </rPr>
      <t>P</t>
    </r>
    <r>
      <rPr>
        <sz val="11"/>
        <color theme="1"/>
        <rFont val="Times New Roman"/>
        <family val="1"/>
      </rPr>
      <t xml:space="preserve"> )</t>
    </r>
  </si>
  <si>
    <t xml:space="preserve">Provide a Tank Diameter of </t>
  </si>
  <si>
    <t>Dimension Of Paddles :</t>
  </si>
  <si>
    <t xml:space="preserve">P </t>
  </si>
  <si>
    <t>Power dissipated in watts i.e.</t>
  </si>
  <si>
    <t>N.m / s</t>
  </si>
  <si>
    <t>μ</t>
  </si>
  <si>
    <r>
      <t xml:space="preserve">Absolute or Dynamic Viscosity of Raw Water in N.s / m </t>
    </r>
    <r>
      <rPr>
        <vertAlign val="superscript"/>
        <sz val="11"/>
        <color theme="1"/>
        <rFont val="Times New Roman"/>
        <family val="1"/>
      </rPr>
      <t>2</t>
    </r>
  </si>
  <si>
    <t>V</t>
  </si>
  <si>
    <r>
      <t xml:space="preserve">Volume of raw water to which P is applied in m </t>
    </r>
    <r>
      <rPr>
        <vertAlign val="superscript"/>
        <sz val="11"/>
        <color theme="1"/>
        <rFont val="Times New Roman"/>
        <family val="1"/>
      </rPr>
      <t>3</t>
    </r>
  </si>
  <si>
    <t>G</t>
  </si>
  <si>
    <r>
      <t xml:space="preserve">Temporal Mean Velocity Gradient in ( sec </t>
    </r>
    <r>
      <rPr>
        <vertAlign val="superscript"/>
        <sz val="11"/>
        <color theme="1"/>
        <rFont val="Times New Roman"/>
        <family val="1"/>
      </rPr>
      <t xml:space="preserve">-1 </t>
    </r>
    <r>
      <rPr>
        <sz val="11"/>
        <color theme="1"/>
        <rFont val="Times New Roman"/>
        <family val="1"/>
      </rPr>
      <t>)</t>
    </r>
  </si>
  <si>
    <r>
      <t xml:space="preserve">sec </t>
    </r>
    <r>
      <rPr>
        <vertAlign val="superscript"/>
        <sz val="11"/>
        <color theme="1"/>
        <rFont val="Times New Roman"/>
        <family val="1"/>
      </rPr>
      <t>- 1</t>
    </r>
  </si>
  <si>
    <t>( Π / 4 ) x</t>
  </si>
  <si>
    <t>Power Input =</t>
  </si>
  <si>
    <r>
      <t>C</t>
    </r>
    <r>
      <rPr>
        <vertAlign val="subscript"/>
        <sz val="11"/>
        <color theme="1"/>
        <rFont val="Times New Roman"/>
        <family val="1"/>
      </rPr>
      <t xml:space="preserve"> d</t>
    </r>
    <r>
      <rPr>
        <sz val="11"/>
        <color theme="1"/>
        <rFont val="Times New Roman"/>
        <family val="1"/>
      </rPr>
      <t xml:space="preserve"> =</t>
    </r>
  </si>
  <si>
    <t>ρ =</t>
  </si>
  <si>
    <r>
      <rPr>
        <b/>
        <vertAlign val="superscript"/>
        <sz val="11"/>
        <color rgb="FFFF0000"/>
        <rFont val="Times New Roman"/>
        <family val="1"/>
      </rPr>
      <t>3</t>
    </r>
    <r>
      <rPr>
        <sz val="11"/>
        <color rgb="FFFF0000"/>
        <rFont val="Times New Roman"/>
        <family val="1"/>
      </rPr>
      <t xml:space="preserve"> ( 25</t>
    </r>
    <r>
      <rPr>
        <b/>
        <vertAlign val="superscript"/>
        <sz val="11"/>
        <color rgb="FFFF0000"/>
        <rFont val="Times New Roman"/>
        <family val="1"/>
      </rPr>
      <t xml:space="preserve"> 0 </t>
    </r>
    <r>
      <rPr>
        <sz val="11"/>
        <color rgb="FFFF0000"/>
        <rFont val="Times New Roman"/>
        <family val="1"/>
      </rPr>
      <t>C )</t>
    </r>
  </si>
  <si>
    <t>v =</t>
  </si>
  <si>
    <t>Velocity of tip of blade =</t>
  </si>
  <si>
    <t>ν =</t>
  </si>
  <si>
    <r>
      <t xml:space="preserve">Velocity of water tip of blade = ( </t>
    </r>
    <r>
      <rPr>
        <sz val="11"/>
        <color rgb="FFFF0000"/>
        <rFont val="Times New Roman"/>
        <family val="1"/>
      </rPr>
      <t>0.25</t>
    </r>
    <r>
      <rPr>
        <sz val="11"/>
        <color theme="1"/>
        <rFont val="Times New Roman"/>
        <family val="1"/>
      </rPr>
      <t xml:space="preserve"> x </t>
    </r>
  </si>
  <si>
    <r>
      <rPr>
        <b/>
        <vertAlign val="superscript"/>
        <sz val="11"/>
        <color theme="1"/>
        <rFont val="Times New Roman"/>
        <family val="1"/>
      </rPr>
      <t>3</t>
    </r>
    <r>
      <rPr>
        <sz val="11"/>
        <color theme="1"/>
        <rFont val="Times New Roman"/>
        <family val="1"/>
      </rPr>
      <t xml:space="preserve"> x A </t>
    </r>
    <r>
      <rPr>
        <vertAlign val="subscript"/>
        <sz val="11"/>
        <color theme="1"/>
        <rFont val="Times New Roman"/>
        <family val="1"/>
      </rPr>
      <t>P</t>
    </r>
  </si>
  <si>
    <t>Ratio of Paddles to C / S of Flocculator</t>
  </si>
  <si>
    <r>
      <t xml:space="preserve">( A </t>
    </r>
    <r>
      <rPr>
        <vertAlign val="subscript"/>
        <sz val="11"/>
        <color theme="1"/>
        <rFont val="Times New Roman"/>
        <family val="1"/>
      </rPr>
      <t>P</t>
    </r>
    <r>
      <rPr>
        <sz val="11"/>
        <color theme="1"/>
        <rFont val="Times New Roman"/>
        <family val="1"/>
      </rPr>
      <t xml:space="preserve"> ) x (</t>
    </r>
  </si>
  <si>
    <r>
      <t xml:space="preserve">Provide A </t>
    </r>
    <r>
      <rPr>
        <vertAlign val="subscript"/>
        <sz val="11"/>
        <color theme="1"/>
        <rFont val="Times New Roman"/>
        <family val="1"/>
      </rPr>
      <t>P</t>
    </r>
    <r>
      <rPr>
        <sz val="11"/>
        <color theme="1"/>
        <rFont val="Times New Roman"/>
        <family val="1"/>
      </rPr>
      <t xml:space="preserve"> =</t>
    </r>
  </si>
  <si>
    <r>
      <t xml:space="preserve">A </t>
    </r>
    <r>
      <rPr>
        <vertAlign val="subscript"/>
        <sz val="11"/>
        <color theme="1"/>
        <rFont val="Times New Roman"/>
        <family val="1"/>
      </rPr>
      <t>P</t>
    </r>
    <r>
      <rPr>
        <sz val="11"/>
        <color theme="1"/>
        <rFont val="Times New Roman"/>
        <family val="1"/>
      </rPr>
      <t xml:space="preserve"> =</t>
    </r>
  </si>
  <si>
    <t xml:space="preserve">Π </t>
  </si>
  <si>
    <t xml:space="preserve">( Which is </t>
  </si>
  <si>
    <t xml:space="preserve">Provide </t>
  </si>
  <si>
    <t xml:space="preserve">of paddles </t>
  </si>
  <si>
    <t>( One )</t>
  </si>
  <si>
    <t>Shaft will support</t>
  </si>
  <si>
    <t>Paddles.</t>
  </si>
  <si>
    <t xml:space="preserve">The Paddles will rotate at an rpm of </t>
  </si>
  <si>
    <r>
      <t xml:space="preserve">» </t>
    </r>
    <r>
      <rPr>
        <b/>
        <sz val="11"/>
        <color theme="1"/>
        <rFont val="Times New Roman"/>
        <family val="1"/>
      </rPr>
      <t>r</t>
    </r>
    <r>
      <rPr>
        <sz val="11"/>
        <color theme="1"/>
        <rFont val="Times New Roman"/>
        <family val="1"/>
      </rPr>
      <t xml:space="preserve"> =</t>
    </r>
  </si>
  <si>
    <t>r =</t>
  </si>
  <si>
    <t>Distance of Paddle from C 1 of vertical shaft.</t>
  </si>
  <si>
    <t xml:space="preserve">Let velocity of water below the partition wall between the flocculator &amp; clarifier be </t>
  </si>
  <si>
    <t>Area =</t>
  </si>
  <si>
    <t>Depth below partition Wall =</t>
  </si>
  <si>
    <t xml:space="preserve">( Π x </t>
  </si>
  <si>
    <t>Provide Slope for Bottom =</t>
  </si>
  <si>
    <r>
      <rPr>
        <vertAlign val="superscript"/>
        <sz val="11"/>
        <color rgb="FFFF0000"/>
        <rFont val="Times New Roman"/>
        <family val="1"/>
      </rPr>
      <t>4</t>
    </r>
    <r>
      <rPr>
        <sz val="11"/>
        <color rgb="FFFF0000"/>
        <rFont val="Times New Roman"/>
        <family val="1"/>
      </rPr>
      <t xml:space="preserve">     to  10</t>
    </r>
  </si>
  <si>
    <t>Total Depth of Tank at Partition Wall =</t>
  </si>
  <si>
    <t>Design Of Clarifier</t>
  </si>
  <si>
    <t>Assuming a Surface Overflow rate</t>
  </si>
  <si>
    <t>Surface Of Clariflocculator</t>
  </si>
  <si>
    <r>
      <t xml:space="preserve">D </t>
    </r>
    <r>
      <rPr>
        <b/>
        <vertAlign val="subscript"/>
        <sz val="11"/>
        <color theme="1"/>
        <rFont val="Times New Roman"/>
        <family val="1"/>
      </rPr>
      <t>cf</t>
    </r>
    <r>
      <rPr>
        <sz val="11"/>
        <color theme="1"/>
        <rFont val="Times New Roman"/>
        <family val="1"/>
      </rPr>
      <t xml:space="preserve">  =</t>
    </r>
  </si>
  <si>
    <t>Diametre of Clariflocculator</t>
  </si>
  <si>
    <r>
      <t xml:space="preserve">Π </t>
    </r>
    <r>
      <rPr>
        <sz val="11"/>
        <color theme="1"/>
        <rFont val="Times New Roman"/>
        <family val="1"/>
      </rPr>
      <t>x ( D</t>
    </r>
    <r>
      <rPr>
        <vertAlign val="subscript"/>
        <sz val="11"/>
        <color theme="1"/>
        <rFont val="Times New Roman"/>
        <family val="1"/>
      </rPr>
      <t xml:space="preserve"> cf </t>
    </r>
    <r>
      <rPr>
        <vertAlign val="superscript"/>
        <sz val="11"/>
        <color theme="1"/>
        <rFont val="Times New Roman"/>
        <family val="1"/>
      </rPr>
      <t>2</t>
    </r>
    <r>
      <rPr>
        <sz val="11"/>
        <color theme="1"/>
        <rFont val="Times New Roman"/>
        <family val="1"/>
      </rPr>
      <t xml:space="preserve"> - </t>
    </r>
  </si>
  <si>
    <t>Length of Weir</t>
  </si>
  <si>
    <r>
      <t xml:space="preserve">Π x D </t>
    </r>
    <r>
      <rPr>
        <vertAlign val="subscript"/>
        <sz val="11"/>
        <color theme="1"/>
        <rFont val="Times New Roman"/>
        <family val="1"/>
      </rPr>
      <t>cf</t>
    </r>
  </si>
  <si>
    <r>
      <rPr>
        <vertAlign val="superscript"/>
        <sz val="11"/>
        <color theme="1"/>
        <rFont val="Times New Roman"/>
        <family val="1"/>
      </rPr>
      <t>3</t>
    </r>
    <r>
      <rPr>
        <sz val="11"/>
        <color theme="1"/>
        <rFont val="Times New Roman"/>
        <family val="1"/>
      </rPr>
      <t xml:space="preserve"> / Day / m</t>
    </r>
  </si>
  <si>
    <t>According to manual of govt. of india, if it is well clarifier, then it can be exceed upto</t>
  </si>
  <si>
    <t>Diameter Of Influent Pipes</t>
  </si>
  <si>
    <t>Overall Depth of Flocculator</t>
  </si>
  <si>
    <t>Diameter of Tank</t>
  </si>
  <si>
    <t>No. of Paddles</t>
  </si>
  <si>
    <t>Distance of Shaft from C.L. of Flocculator</t>
  </si>
  <si>
    <t>Paddles Rotation (RPM)</t>
  </si>
  <si>
    <t>Distance of Paddle from C.L. of vertical Shaft</t>
  </si>
  <si>
    <t>Slope of Bottom ( % )</t>
  </si>
  <si>
    <t>Total Depth of Partition Wall</t>
  </si>
  <si>
    <t>Diameter of Clariflocculator</t>
  </si>
  <si>
    <t>Design Of Rapid Gravity Filter</t>
  </si>
  <si>
    <r>
      <rPr>
        <b/>
        <u/>
        <sz val="11"/>
        <color theme="1"/>
        <rFont val="Times New Roman"/>
        <family val="1"/>
      </rPr>
      <t>Design Criteria</t>
    </r>
    <r>
      <rPr>
        <sz val="11"/>
        <color theme="1"/>
        <rFont val="Times New Roman"/>
        <family val="1"/>
      </rPr>
      <t xml:space="preserve"> : ( Rapid Sand Filter )</t>
    </r>
  </si>
  <si>
    <t>Rate Of Filteration</t>
  </si>
  <si>
    <t>Maximum surface area of One Bed</t>
  </si>
  <si>
    <t xml:space="preserve">Minimum Overall Depth Of Filter Unit Including a Free Board of </t>
  </si>
  <si>
    <t>Effective size Of Sand</t>
  </si>
  <si>
    <t>Uniformity Co-efficient For Sand</t>
  </si>
  <si>
    <t>Ignition Loss Should Not Exceed</t>
  </si>
  <si>
    <t>percent by weight</t>
  </si>
  <si>
    <t>Specific Gravity</t>
  </si>
  <si>
    <t>Wearing Loss is not greater than</t>
  </si>
  <si>
    <t>Minimum Number Of Units</t>
  </si>
  <si>
    <t>Depth Of Sand</t>
  </si>
  <si>
    <t>Standing Depth of water over the filter</t>
  </si>
  <si>
    <t>Free Board is less than</t>
  </si>
  <si>
    <t>Problem Statement :</t>
  </si>
  <si>
    <t>Net Filtered Water</t>
  </si>
  <si>
    <t>Quantity of Backwash water used</t>
  </si>
  <si>
    <t>Time Lost During Backwash</t>
  </si>
  <si>
    <t>Design Rate Of Filteration</t>
  </si>
  <si>
    <t>Length &amp; Width Ratio</t>
  </si>
  <si>
    <t>Under Drainage System</t>
  </si>
  <si>
    <t>Size of Perforations</t>
  </si>
  <si>
    <t>Central Manifold With Laterals</t>
  </si>
  <si>
    <t>Water Flow Required</t>
  </si>
  <si>
    <t>Design Flow for Filter</t>
  </si>
  <si>
    <t>Plan Area For Filter</t>
  </si>
  <si>
    <t>Using</t>
  </si>
  <si>
    <t>Units</t>
  </si>
  <si>
    <t>Hence Plan Area of One Unit</t>
  </si>
  <si>
    <t>Length x</t>
  </si>
  <si>
    <t>Width</t>
  </si>
  <si>
    <t>Width   =</t>
  </si>
  <si>
    <t>Length L</t>
  </si>
  <si>
    <t>Units, each with a dimension of  =</t>
  </si>
  <si>
    <t>Estimation Of Sand Depth :</t>
  </si>
  <si>
    <t>It is checked against break through of floc.</t>
  </si>
  <si>
    <t>Using Hudson Formula -</t>
  </si>
  <si>
    <r>
      <t xml:space="preserve">D </t>
    </r>
    <r>
      <rPr>
        <b/>
        <vertAlign val="subscript"/>
        <sz val="11"/>
        <color theme="1"/>
        <rFont val="Times New Roman"/>
        <family val="1"/>
      </rPr>
      <t>cf</t>
    </r>
    <r>
      <rPr>
        <sz val="11"/>
        <color theme="1"/>
        <rFont val="Times New Roman"/>
        <family val="1"/>
      </rPr>
      <t xml:space="preserve">  </t>
    </r>
  </si>
  <si>
    <r>
      <rPr>
        <b/>
        <vertAlign val="superscript"/>
        <sz val="11"/>
        <color rgb="FFFF0000"/>
        <rFont val="Times New Roman"/>
        <family val="1"/>
      </rPr>
      <t>-4</t>
    </r>
  </si>
  <si>
    <t>Where</t>
  </si>
  <si>
    <t>m</t>
  </si>
  <si>
    <r>
      <rPr>
        <vertAlign val="superscript"/>
        <sz val="11"/>
        <color theme="1"/>
        <rFont val="Times New Roman"/>
        <family val="1"/>
      </rPr>
      <t>3</t>
    </r>
    <r>
      <rPr>
        <sz val="11"/>
        <color theme="1"/>
        <rFont val="Times New Roman"/>
        <family val="1"/>
      </rPr>
      <t xml:space="preserve"> / m </t>
    </r>
    <r>
      <rPr>
        <vertAlign val="superscript"/>
        <sz val="11"/>
        <color theme="1"/>
        <rFont val="Times New Roman"/>
        <family val="1"/>
      </rPr>
      <t>2</t>
    </r>
    <r>
      <rPr>
        <sz val="11"/>
        <color theme="1"/>
        <rFont val="Times New Roman"/>
        <family val="1"/>
      </rPr>
      <t xml:space="preserve"> / hr, mm, m and m respectively</t>
    </r>
  </si>
  <si>
    <t xml:space="preserve">Assume </t>
  </si>
  <si>
    <t>( Poor Response ) &lt; Average degree of pre-treatment</t>
  </si>
  <si>
    <t>B =</t>
  </si>
  <si>
    <t>h =</t>
  </si>
  <si>
    <t>( Terminal Head Loss )</t>
  </si>
  <si>
    <r>
      <t xml:space="preserve">Hence Total Head of Pumping = ( </t>
    </r>
    <r>
      <rPr>
        <b/>
        <sz val="11"/>
        <color theme="1"/>
        <rFont val="Times New Roman"/>
        <family val="1"/>
      </rPr>
      <t xml:space="preserve">h </t>
    </r>
    <r>
      <rPr>
        <b/>
        <vertAlign val="subscript"/>
        <sz val="11"/>
        <color theme="1"/>
        <rFont val="Times New Roman"/>
        <family val="1"/>
      </rPr>
      <t xml:space="preserve">s </t>
    </r>
    <r>
      <rPr>
        <b/>
        <sz val="11"/>
        <color theme="1"/>
        <rFont val="Times New Roman"/>
        <family val="1"/>
      </rPr>
      <t xml:space="preserve">+ h </t>
    </r>
    <r>
      <rPr>
        <b/>
        <vertAlign val="subscript"/>
        <sz val="11"/>
        <color theme="1"/>
        <rFont val="Times New Roman"/>
        <family val="1"/>
      </rPr>
      <t>d</t>
    </r>
    <r>
      <rPr>
        <b/>
        <sz val="11"/>
        <color theme="1"/>
        <rFont val="Times New Roman"/>
        <family val="1"/>
      </rPr>
      <t xml:space="preserve"> + h </t>
    </r>
    <r>
      <rPr>
        <b/>
        <vertAlign val="subscript"/>
        <sz val="11"/>
        <color theme="1"/>
        <rFont val="Times New Roman"/>
        <family val="1"/>
      </rPr>
      <t>f</t>
    </r>
    <r>
      <rPr>
        <vertAlign val="subscript"/>
        <sz val="11"/>
        <color theme="1"/>
        <rFont val="Times New Roman"/>
        <family val="1"/>
      </rPr>
      <t xml:space="preserve"> </t>
    </r>
    <r>
      <rPr>
        <sz val="11"/>
        <color theme="1"/>
        <rFont val="Times New Roman"/>
        <family val="1"/>
      </rPr>
      <t>+ minor losses )</t>
    </r>
  </si>
  <si>
    <t>Q =</t>
  </si>
  <si>
    <r>
      <rPr>
        <vertAlign val="superscript"/>
        <sz val="11"/>
        <color theme="1"/>
        <rFont val="Times New Roman"/>
        <family val="1"/>
      </rPr>
      <t xml:space="preserve">3 </t>
    </r>
    <r>
      <rPr>
        <sz val="11"/>
        <color theme="1"/>
        <rFont val="Times New Roman"/>
        <family val="1"/>
      </rPr>
      <t xml:space="preserve">/ m </t>
    </r>
    <r>
      <rPr>
        <vertAlign val="superscript"/>
        <sz val="11"/>
        <color theme="1"/>
        <rFont val="Times New Roman"/>
        <family val="1"/>
      </rPr>
      <t>2</t>
    </r>
    <r>
      <rPr>
        <sz val="11"/>
        <color theme="1"/>
        <rFont val="Times New Roman"/>
        <family val="1"/>
      </rPr>
      <t xml:space="preserve"> / hr</t>
    </r>
  </si>
  <si>
    <t>( Assuming 100 % overload of filter )</t>
  </si>
  <si>
    <t>( Mean Diameter )</t>
  </si>
  <si>
    <t>{ or ( &gt; ) greater than }</t>
  </si>
  <si>
    <t>Hence provide depth of sand bed =</t>
  </si>
  <si>
    <t>Estimation Of Gravel &amp; Size Gradation :</t>
  </si>
  <si>
    <t xml:space="preserve">Assuming size gradation of </t>
  </si>
  <si>
    <t xml:space="preserve">at bottom using empirical </t>
  </si>
  <si>
    <t>formula :</t>
  </si>
  <si>
    <t>Where :</t>
  </si>
  <si>
    <t>R</t>
  </si>
  <si>
    <t>)</t>
  </si>
  <si>
    <t>cm &amp; mm, respectively.</t>
  </si>
  <si>
    <r>
      <t>The Units of</t>
    </r>
    <r>
      <rPr>
        <b/>
        <sz val="11"/>
        <rFont val="Times New Roman"/>
        <family val="1"/>
      </rPr>
      <t xml:space="preserve"> L</t>
    </r>
    <r>
      <rPr>
        <sz val="11"/>
        <color theme="1"/>
        <rFont val="Times New Roman"/>
        <family val="1"/>
      </rPr>
      <t xml:space="preserve"> &amp; </t>
    </r>
    <r>
      <rPr>
        <b/>
        <sz val="11"/>
        <rFont val="Times New Roman"/>
        <family val="1"/>
      </rPr>
      <t>d</t>
    </r>
    <r>
      <rPr>
        <sz val="11"/>
        <color theme="1"/>
        <rFont val="Times New Roman"/>
        <family val="1"/>
      </rPr>
      <t xml:space="preserve"> are</t>
    </r>
  </si>
  <si>
    <t>Size</t>
  </si>
  <si>
    <t>Depth (cm )</t>
  </si>
  <si>
    <t>Increment</t>
  </si>
  <si>
    <t xml:space="preserve">L x </t>
  </si>
  <si>
    <t>Estimation Of Under Drainage System :</t>
  </si>
  <si>
    <t>Plan Area of each filter</t>
  </si>
  <si>
    <t>Hence provide</t>
  </si>
  <si>
    <t>depth of gravel.</t>
  </si>
  <si>
    <t>Total Area of perforation</t>
  </si>
  <si>
    <t>Total Cross Section Area of Laterals</t>
  </si>
  <si>
    <t>Area of perforation )</t>
  </si>
  <si>
    <t>Area of Central Manifold</t>
  </si>
  <si>
    <t>Area of Laterals )</t>
  </si>
  <si>
    <t>Diameter of Central Manifold</t>
  </si>
  <si>
    <t xml:space="preserve">Providing a commercially available diameter of </t>
  </si>
  <si>
    <t>Assuming spacing for laterals</t>
  </si>
  <si>
    <t>Number of Laterals</t>
  </si>
  <si>
    <t>Number of perforations / laterals =</t>
  </si>
  <si>
    <r>
      <t xml:space="preserve">Length of One lateral =          ( </t>
    </r>
    <r>
      <rPr>
        <u/>
        <sz val="11"/>
        <color theme="1"/>
        <rFont val="Times New Roman"/>
        <family val="1"/>
      </rPr>
      <t xml:space="preserve">1 ) </t>
    </r>
    <r>
      <rPr>
        <sz val="11"/>
        <color theme="1"/>
        <rFont val="Times New Roman"/>
        <family val="1"/>
      </rPr>
      <t xml:space="preserve">width of filter - ( </t>
    </r>
    <r>
      <rPr>
        <u/>
        <sz val="11"/>
        <color theme="1"/>
        <rFont val="Times New Roman"/>
        <family val="1"/>
      </rPr>
      <t>1 )</t>
    </r>
    <r>
      <rPr>
        <sz val="11"/>
        <color theme="1"/>
        <rFont val="Times New Roman"/>
        <family val="1"/>
      </rPr>
      <t xml:space="preserve"> diameter of manifold</t>
    </r>
  </si>
  <si>
    <t>ℓ</t>
  </si>
  <si>
    <t xml:space="preserve">Let n be the total number of perforation of </t>
  </si>
  <si>
    <r>
      <t>n x</t>
    </r>
    <r>
      <rPr>
        <u/>
        <sz val="11"/>
        <color theme="1"/>
        <rFont val="Times New Roman"/>
        <family val="1"/>
      </rPr>
      <t xml:space="preserve"> Π</t>
    </r>
    <r>
      <rPr>
        <sz val="11"/>
        <color theme="1"/>
        <rFont val="Times New Roman"/>
        <family val="1"/>
      </rPr>
      <t xml:space="preserve"> </t>
    </r>
  </si>
  <si>
    <t>²           =</t>
  </si>
  <si>
    <t>»   n</t>
  </si>
  <si>
    <t>Number of Perforation or Laterals</t>
  </si>
  <si>
    <t>Spacing of Perforation</t>
  </si>
  <si>
    <t>Computation Of Wash Water Troughs :</t>
  </si>
  <si>
    <t>Wash Water Rate</t>
  </si>
  <si>
    <r>
      <rPr>
        <vertAlign val="superscript"/>
        <sz val="11"/>
        <color theme="1"/>
        <rFont val="Times New Roman"/>
        <family val="1"/>
      </rPr>
      <t>3</t>
    </r>
    <r>
      <rPr>
        <sz val="11"/>
        <color theme="1"/>
        <rFont val="Times New Roman"/>
        <family val="1"/>
      </rPr>
      <t xml:space="preserve"> / m </t>
    </r>
    <r>
      <rPr>
        <vertAlign val="superscript"/>
        <sz val="11"/>
        <color theme="1"/>
        <rFont val="Times New Roman"/>
        <family val="1"/>
      </rPr>
      <t xml:space="preserve">2 </t>
    </r>
    <r>
      <rPr>
        <sz val="11"/>
        <color theme="1"/>
        <rFont val="Times New Roman"/>
        <family val="1"/>
      </rPr>
      <t>/ hour</t>
    </r>
  </si>
  <si>
    <t>Wash Water discharge for one filter</t>
  </si>
  <si>
    <r>
      <rPr>
        <vertAlign val="superscript"/>
        <sz val="11"/>
        <color theme="1"/>
        <rFont val="Times New Roman"/>
        <family val="1"/>
      </rPr>
      <t>3</t>
    </r>
    <r>
      <rPr>
        <sz val="11"/>
        <color theme="1"/>
        <rFont val="Times New Roman"/>
        <family val="1"/>
      </rPr>
      <t xml:space="preserve"> / hour</t>
    </r>
  </si>
  <si>
    <r>
      <rPr>
        <vertAlign val="superscript"/>
        <sz val="11"/>
        <color theme="1"/>
        <rFont val="Times New Roman"/>
        <family val="1"/>
      </rPr>
      <t>3</t>
    </r>
    <r>
      <rPr>
        <sz val="11"/>
        <color theme="1"/>
        <rFont val="Times New Roman"/>
        <family val="1"/>
      </rPr>
      <t xml:space="preserve"> / sec.</t>
    </r>
  </si>
  <si>
    <t>Assuming a spacing of</t>
  </si>
  <si>
    <t xml:space="preserve">wash water trough which will run parallel to the longer </t>
  </si>
  <si>
    <t>dimension of the filter unit.</t>
  </si>
  <si>
    <t>Number of trough</t>
  </si>
  <si>
    <r>
      <rPr>
        <vertAlign val="superscript"/>
        <sz val="10"/>
        <color theme="1"/>
        <rFont val="Times New Roman"/>
        <family val="1"/>
      </rPr>
      <t>3</t>
    </r>
    <r>
      <rPr>
        <sz val="10"/>
        <color theme="1"/>
        <rFont val="Times New Roman"/>
        <family val="1"/>
      </rPr>
      <t xml:space="preserve"> / sec.</t>
    </r>
  </si>
  <si>
    <t xml:space="preserve">For a width of </t>
  </si>
  <si>
    <r>
      <t xml:space="preserve">the water depth at upper end is given by </t>
    </r>
    <r>
      <rPr>
        <b/>
        <sz val="11"/>
        <color theme="1"/>
        <rFont val="Times New Roman"/>
        <family val="1"/>
      </rPr>
      <t>:</t>
    </r>
  </si>
  <si>
    <r>
      <rPr>
        <b/>
        <vertAlign val="superscript"/>
        <sz val="11"/>
        <color theme="1"/>
        <rFont val="Times New Roman"/>
        <family val="1"/>
      </rPr>
      <t>3/2</t>
    </r>
  </si>
  <si>
    <t>h</t>
  </si>
  <si>
    <r>
      <rPr>
        <b/>
        <vertAlign val="superscript"/>
        <sz val="11"/>
        <color theme="1"/>
        <rFont val="Times New Roman"/>
        <family val="1"/>
      </rPr>
      <t>2/3</t>
    </r>
  </si>
  <si>
    <t>Freeboard</t>
  </si>
  <si>
    <t xml:space="preserve">troughs of </t>
  </si>
  <si>
    <t xml:space="preserve">Wide &amp; </t>
  </si>
  <si>
    <t>deep in each filter.</t>
  </si>
  <si>
    <t>Total Depth Of Filter Box :</t>
  </si>
  <si>
    <t>Depth of filter box = ( depth of under drain + gravel + sand + water depth + free board )</t>
  </si>
  <si>
    <t>²           ≡</t>
  </si>
  <si>
    <r>
      <t xml:space="preserve">Q x d </t>
    </r>
    <r>
      <rPr>
        <u/>
        <vertAlign val="superscript"/>
        <sz val="11"/>
        <color theme="1"/>
        <rFont val="Times New Roman"/>
        <family val="1"/>
      </rPr>
      <t>3</t>
    </r>
    <r>
      <rPr>
        <u/>
        <sz val="11"/>
        <color theme="1"/>
        <rFont val="Times New Roman"/>
        <family val="1"/>
      </rPr>
      <t xml:space="preserve"> x h</t>
    </r>
  </si>
  <si>
    <t xml:space="preserve">Q, d, h &amp; ℓ are in </t>
  </si>
  <si>
    <t xml:space="preserve">Discharge per unit trough </t>
  </si>
  <si>
    <t>Design Of Filter Air Wash :</t>
  </si>
  <si>
    <t>Assume Rate at which air is supplied</t>
  </si>
  <si>
    <r>
      <rPr>
        <vertAlign val="superscript"/>
        <sz val="11"/>
        <color theme="1"/>
        <rFont val="Times New Roman"/>
        <family val="1"/>
      </rPr>
      <t>3</t>
    </r>
    <r>
      <rPr>
        <sz val="11"/>
        <color theme="1"/>
        <rFont val="Times New Roman"/>
        <family val="1"/>
      </rPr>
      <t xml:space="preserve"> / m </t>
    </r>
    <r>
      <rPr>
        <vertAlign val="superscript"/>
        <sz val="11"/>
        <color theme="1"/>
        <rFont val="Times New Roman"/>
        <family val="1"/>
      </rPr>
      <t xml:space="preserve">2 </t>
    </r>
    <r>
      <rPr>
        <sz val="11"/>
        <color theme="1"/>
        <rFont val="Times New Roman"/>
        <family val="1"/>
      </rPr>
      <t>/ min.</t>
    </r>
  </si>
  <si>
    <t>Duration of Air Wash</t>
  </si>
  <si>
    <t>Total Quantity of air per unit bed</t>
  </si>
  <si>
    <t>Number Of Units</t>
  </si>
  <si>
    <t>Size Of Unit</t>
  </si>
  <si>
    <t>Depth Of Sand Bed</t>
  </si>
  <si>
    <t>Depth Of Gravel</t>
  </si>
  <si>
    <t>Diameter Of Perforation</t>
  </si>
  <si>
    <t>Diameter Of Central Manifold</t>
  </si>
  <si>
    <t>Spacing For Laterals</t>
  </si>
  <si>
    <t>Number Of Laterals</t>
  </si>
  <si>
    <t>Diameter Of Laterals</t>
  </si>
  <si>
    <t>Number Of Perforations</t>
  </si>
  <si>
    <t>Number Of Trough</t>
  </si>
  <si>
    <t>Size Of Trough</t>
  </si>
  <si>
    <t>Total Depth Of Filter Box</t>
  </si>
  <si>
    <t>Total Quantity Of Air Required Per Unit Bed</t>
  </si>
  <si>
    <t>Design Of Disinfection Unit</t>
  </si>
  <si>
    <t>Disinfection should not only remove the existing bacteria from water but also ensure their immediate killing even afterwards, in the distribution system.</t>
  </si>
  <si>
    <t xml:space="preserve">Design Criteria ( Chlorination ) </t>
  </si>
  <si>
    <t>( Rainy Season )</t>
  </si>
  <si>
    <t>( Winter Season )</t>
  </si>
  <si>
    <t>( Summer Season )</t>
  </si>
  <si>
    <t>→ Chlorine Dose</t>
  </si>
  <si>
    <t>→ Residual Chlorine</t>
  </si>
  <si>
    <t>( Minimum )</t>
  </si>
  <si>
    <t>→ Contact Period</t>
  </si>
  <si>
    <t>Rate of Chlorine required, to disinfect water be =</t>
  </si>
  <si>
    <t>Chlorine required Per Day</t>
  </si>
  <si>
    <t>Number of Cylinder</t>
  </si>
  <si>
    <t>( One Cylinder contain</t>
  </si>
  <si>
    <t xml:space="preserve">Number Of Cylinders used per day </t>
  </si>
  <si>
    <t>Chlorine required per day</t>
  </si>
  <si>
    <t>Number Of Cylinders required per day</t>
  </si>
  <si>
    <r>
      <t xml:space="preserve">Molecular Weight of Magnesium ( M </t>
    </r>
    <r>
      <rPr>
        <vertAlign val="subscript"/>
        <sz val="11"/>
        <color theme="1"/>
        <rFont val="Times New Roman"/>
        <family val="1"/>
      </rPr>
      <t>n</t>
    </r>
    <r>
      <rPr>
        <sz val="11"/>
        <color theme="1"/>
        <rFont val="Times New Roman"/>
        <family val="1"/>
      </rPr>
      <t xml:space="preserve"> )</t>
    </r>
  </si>
  <si>
    <r>
      <t xml:space="preserve">Per day alum required for </t>
    </r>
    <r>
      <rPr>
        <b/>
        <sz val="11"/>
        <color rgb="FFFF0000"/>
        <rFont val="Times New Roman"/>
        <family val="1"/>
      </rPr>
      <t>worst season</t>
    </r>
    <r>
      <rPr>
        <sz val="11"/>
        <color theme="1"/>
        <rFont val="Times New Roman"/>
        <family val="1"/>
      </rPr>
      <t xml:space="preserve"> for intermediate stage</t>
    </r>
  </si>
  <si>
    <r>
      <t xml:space="preserve">Molecular Weight of Soda ( Na </t>
    </r>
    <r>
      <rPr>
        <vertAlign val="subscript"/>
        <sz val="11"/>
        <color theme="1"/>
        <rFont val="Times New Roman"/>
        <family val="1"/>
      </rPr>
      <t>2</t>
    </r>
    <r>
      <rPr>
        <sz val="11"/>
        <color theme="1"/>
        <rFont val="Times New Roman"/>
        <family val="1"/>
      </rPr>
      <t xml:space="preserve"> C O</t>
    </r>
    <r>
      <rPr>
        <vertAlign val="subscript"/>
        <sz val="11"/>
        <color theme="1"/>
        <rFont val="Times New Roman"/>
        <family val="1"/>
      </rPr>
      <t xml:space="preserve"> 3</t>
    </r>
    <r>
      <rPr>
        <sz val="11"/>
        <color theme="1"/>
        <rFont val="Times New Roman"/>
        <family val="1"/>
      </rPr>
      <t xml:space="preserve"> )</t>
    </r>
  </si>
  <si>
    <t xml:space="preserve">Area required is </t>
  </si>
  <si>
    <t>Area provided, hence</t>
  </si>
  <si>
    <t>Room Area provided, hence</t>
  </si>
  <si>
    <r>
      <t>V =      2 x Π x r x</t>
    </r>
    <r>
      <rPr>
        <u/>
        <sz val="11"/>
        <color theme="1"/>
        <rFont val="Times New Roman"/>
        <family val="1"/>
      </rPr>
      <t xml:space="preserve"> N</t>
    </r>
  </si>
  <si>
    <r>
      <t xml:space="preserve">»   A </t>
    </r>
    <r>
      <rPr>
        <vertAlign val="subscript"/>
        <sz val="11"/>
        <color theme="1"/>
        <rFont val="Times New Roman"/>
        <family val="1"/>
      </rPr>
      <t>P</t>
    </r>
  </si>
  <si>
    <t xml:space="preserve">Assuming Velocity ( V ) </t>
  </si>
  <si>
    <r>
      <t xml:space="preserve">  =  ( </t>
    </r>
    <r>
      <rPr>
        <u/>
        <sz val="11"/>
        <color theme="1"/>
        <rFont val="Times New Roman"/>
        <family val="1"/>
      </rPr>
      <t>1</t>
    </r>
    <r>
      <rPr>
        <sz val="11"/>
        <color theme="1"/>
        <rFont val="Times New Roman"/>
        <family val="1"/>
      </rPr>
      <t xml:space="preserve">    x </t>
    </r>
  </si>
  <si>
    <t>R x ( log d )</t>
  </si>
</sst>
</file>

<file path=xl/styles.xml><?xml version="1.0" encoding="utf-8"?>
<styleSheet xmlns="http://schemas.openxmlformats.org/spreadsheetml/2006/main" xmlns:mc="http://schemas.openxmlformats.org/markup-compatibility/2006" xmlns:x14ac="http://schemas.microsoft.com/office/spreadsheetml/2009/9/ac" mc:Ignorable="x14ac">
  <numFmts count="205">
    <numFmt numFmtId="164" formatCode="0.000&quot; MLD &quot;"/>
    <numFmt numFmtId="165" formatCode="0.0&quot; MLD &quot;"/>
    <numFmt numFmtId="166" formatCode="0&quot; x &quot;"/>
    <numFmt numFmtId="167" formatCode="0.00&quot; x &quot;"/>
    <numFmt numFmtId="168" formatCode="&quot; = &quot;0&quot; x &quot;"/>
    <numFmt numFmtId="169" formatCode="&quot; = &quot;0.00&quot; MLD&quot;"/>
    <numFmt numFmtId="170" formatCode="0&quot; x Average Daily Demand &quot;"/>
    <numFmt numFmtId="171" formatCode="0.0&quot; to &quot;"/>
    <numFmt numFmtId="172" formatCode="0.0"/>
    <numFmt numFmtId="173" formatCode="0&quot; m&quot;"/>
    <numFmt numFmtId="174" formatCode="0&quot; m )&quot;"/>
    <numFmt numFmtId="175" formatCode="0&quot; minutes&quot;"/>
    <numFmt numFmtId="176" formatCode="0.0&quot; m / sec. &quot;"/>
    <numFmt numFmtId="177" formatCode="0&quot; to &quot;"/>
    <numFmt numFmtId="178" formatCode="0&quot;  )&quot;"/>
    <numFmt numFmtId="179" formatCode="0.000&quot; MLD / &quot;"/>
    <numFmt numFmtId="180" formatCode="0.0&quot; m&quot;"/>
    <numFmt numFmtId="181" formatCode="0.00&quot; m&quot;"/>
    <numFmt numFmtId="182" formatCode="0.0000&quot; m&quot;"/>
    <numFmt numFmtId="183" formatCode="0.0000&quot; x &quot;"/>
    <numFmt numFmtId="184" formatCode="&quot; ( &quot;0.00&quot; / &quot;"/>
    <numFmt numFmtId="185" formatCode="0.0&quot; to&quot;"/>
    <numFmt numFmtId="186" formatCode="0.0&quot; m / sec.&quot;"/>
    <numFmt numFmtId="187" formatCode="&quot; Less than &quot;0&quot; m&quot;"/>
    <numFmt numFmtId="188" formatCode="0&quot; nos.&quot;"/>
    <numFmt numFmtId="189" formatCode="0.00&quot; m / sec.&quot;"/>
    <numFmt numFmtId="190" formatCode="0.000&quot; m&quot;"/>
    <numFmt numFmtId="191" formatCode="0.000&quot; x 4&quot;"/>
    <numFmt numFmtId="192" formatCode="0.0&quot; m (Say)&quot;"/>
    <numFmt numFmtId="193" formatCode="0&quot; Units&quot;"/>
    <numFmt numFmtId="194" formatCode="0.0&quot; mm&quot;"/>
    <numFmt numFmtId="195" formatCode="&quot; = &quot;0.0000&quot; x N &quot;"/>
    <numFmt numFmtId="196" formatCode="0.0000"/>
    <numFmt numFmtId="197" formatCode="&quot; = &quot;0.00&quot; cm&quot;"/>
    <numFmt numFmtId="198" formatCode="0.00&quot; cm&quot;"/>
    <numFmt numFmtId="199" formatCode="0.0&quot; m &quot;"/>
    <numFmt numFmtId="200" formatCode="&quot; / ( &quot;0.00&quot; ) &quot;"/>
    <numFmt numFmtId="201" formatCode="0.0000&quot; m &quot;"/>
    <numFmt numFmtId="202" formatCode="&quot; = &quot;0.000"/>
    <numFmt numFmtId="203" formatCode="0.0&quot; min. ) &quot;"/>
    <numFmt numFmtId="204" formatCode="&quot; ( &quot;0.0&quot; to&quot;"/>
    <numFmt numFmtId="205" formatCode="&quot; = &quot;0&quot; minutes&quot;"/>
    <numFmt numFmtId="206" formatCode="&quot; ( &lt; ) Less than &quot;0&quot; m&quot;"/>
    <numFmt numFmtId="207" formatCode="&quot; = &quot;0.00&quot; m&quot;"/>
    <numFmt numFmtId="208" formatCode="0.00&quot; ) = &quot;"/>
    <numFmt numFmtId="209" formatCode="0.00&quot; m &quot;"/>
    <numFmt numFmtId="210" formatCode="0&quot; m, &quot;"/>
    <numFmt numFmtId="211" formatCode="&quot; ( &quot;0.00"/>
    <numFmt numFmtId="212" formatCode="&quot; to &quot;0.00&quot; ) &quot;"/>
    <numFmt numFmtId="213" formatCode="&quot; x ( &quot;0.0000&quot; ) &quot;"/>
    <numFmt numFmtId="214" formatCode="&quot; x    ( &quot;0.0000&quot; ) &quot;"/>
    <numFmt numFmtId="215" formatCode="&quot; ( &quot;0.000"/>
    <numFmt numFmtId="216" formatCode="&quot; ( &gt; ) &quot;0&quot; m. &quot;"/>
    <numFmt numFmtId="217" formatCode="0&quot; x ( &quot;"/>
    <numFmt numFmtId="218" formatCode="&quot; = &quot;0.000&quot; m&quot;"/>
    <numFmt numFmtId="219" formatCode="0.000000"/>
    <numFmt numFmtId="220" formatCode="&quot; = &quot;0.000&quot; H.P&quot;"/>
    <numFmt numFmtId="221" formatCode="0&quot; % &quot;"/>
    <numFmt numFmtId="222" formatCode="0.00&quot; H.P&quot;"/>
    <numFmt numFmtId="223" formatCode="0&quot; H.P&quot;"/>
    <numFmt numFmtId="224" formatCode="0&quot; to&quot;"/>
    <numFmt numFmtId="225" formatCode="0.00&quot; C / C &quot;"/>
    <numFmt numFmtId="226" formatCode="0.000&quot; - &quot;"/>
    <numFmt numFmtId="227" formatCode="0.0&quot; cm&quot;"/>
    <numFmt numFmtId="228" formatCode="&quot; = &quot;0.0&quot; m&quot;"/>
    <numFmt numFmtId="229" formatCode="0&quot; mg / L &quot;"/>
    <numFmt numFmtId="230" formatCode="0&quot; mg / L, &quot;"/>
    <numFmt numFmtId="231" formatCode="&quot; &amp; &quot;0&quot; mg / L &quot;"/>
    <numFmt numFmtId="232" formatCode="General&quot; ,&quot;"/>
    <numFmt numFmtId="233" formatCode="&quot; For &quot;0.0"/>
    <numFmt numFmtId="234" formatCode="&quot; ( &quot;0&quot; Days ) = &quot;"/>
    <numFmt numFmtId="235" formatCode="0.00&quot; Kg &quot;"/>
    <numFmt numFmtId="236" formatCode="0.0&quot; Kg &quot;"/>
    <numFmt numFmtId="237" formatCode="&quot; = &quot;0.0"/>
    <numFmt numFmtId="238" formatCode="0&quot; Bags&quot;"/>
    <numFmt numFmtId="239" formatCode="0&quot; heaps &quot;"/>
    <numFmt numFmtId="240" formatCode="&quot; ( &gt; &quot;0&quot; mg / L ) &quot;"/>
    <numFmt numFmtId="241" formatCode="&quot; ( &lt; &quot;0&quot; mg / L ). &quot;"/>
    <numFmt numFmtId="242" formatCode="&quot; ( &quot;0&quot; + &quot;"/>
    <numFmt numFmtId="243" formatCode="0&quot; + &quot;"/>
    <numFmt numFmtId="244" formatCode="&quot; x &quot;0&quot; ) &quot;"/>
    <numFmt numFmtId="245" formatCode="0&quot; )   =&quot;"/>
    <numFmt numFmtId="246" formatCode="0&quot; mg / L of &quot;"/>
    <numFmt numFmtId="247" formatCode="0.0&quot; mg / L of &quot;"/>
    <numFmt numFmtId="248" formatCode="0.0&quot; mg / L &quot;"/>
    <numFmt numFmtId="249" formatCode="&quot; Also &quot;0&quot; Kg &quot;"/>
    <numFmt numFmtId="250" formatCode="0&quot; Kg &quot;"/>
    <numFmt numFmtId="251" formatCode="&quot; ( 2 x &quot;0&quot; + &quot;"/>
    <numFmt numFmtId="252" formatCode="0.000&quot; Kg &quot;"/>
    <numFmt numFmtId="253" formatCode="0.0&quot; Kg ) &quot;"/>
    <numFmt numFmtId="254" formatCode="0.0&quot; Bags&quot;"/>
    <numFmt numFmtId="255" formatCode="&quot; Say &quot;0&quot; Bags&quot;"/>
    <numFmt numFmtId="256" formatCode="&quot; If &quot;0&quot; bags in &quot;"/>
    <numFmt numFmtId="257" formatCode="0.000"/>
    <numFmt numFmtId="258" formatCode="0.00&quot; mg / L of &quot;"/>
    <numFmt numFmtId="259" formatCode="&quot; Add &quot;0&quot; % &quot;"/>
    <numFmt numFmtId="260" formatCode="&quot; = &quot;0.00&quot; Kg &quot;"/>
    <numFmt numFmtId="261" formatCode="0.0&quot; Hours&quot;"/>
    <numFmt numFmtId="262" formatCode="&quot; = &quot;0.0&quot; Liters&quot;"/>
    <numFmt numFmtId="263" formatCode="0.00&quot; m x &quot;"/>
    <numFmt numFmtId="264" formatCode="0.00&quot; Kg / Day&quot;"/>
    <numFmt numFmtId="265" formatCode="0&quot; Sec.&quot;"/>
    <numFmt numFmtId="266" formatCode="0&quot; m / sec.&quot;"/>
    <numFmt numFmtId="267" formatCode="0&quot; rpm&quot;"/>
    <numFmt numFmtId="268" formatCode="0.0&quot; : 1 &quot;"/>
    <numFmt numFmtId="269" formatCode="0&quot; : 1 &quot;"/>
    <numFmt numFmtId="270" formatCode="0.00&quot; KW&quot;"/>
    <numFmt numFmtId="271" formatCode="0.0&quot; (Flat Blade):&quot;"/>
    <numFmt numFmtId="272" formatCode="0&quot; = &quot;"/>
    <numFmt numFmtId="273" formatCode="&quot; 1 x &quot;0.0"/>
    <numFmt numFmtId="274" formatCode="&quot; x &quot;0&quot; x &quot;"/>
    <numFmt numFmtId="275" formatCode="&quot; ( &quot;0.00&quot; x &quot;"/>
    <numFmt numFmtId="276" formatCode="0.00&quot; ) m&quot;"/>
    <numFmt numFmtId="277" formatCode="0&quot; numbers of &quot;"/>
    <numFmt numFmtId="278" formatCode="&quot; length &quot;0.00&quot; m and &quot;"/>
    <numFmt numFmtId="279" formatCode="0&quot; mm&quot;"/>
    <numFmt numFmtId="280" formatCode="&quot; ( &quot;0.00&quot; m free board ) &quot;"/>
    <numFmt numFmtId="281" formatCode="&quot; ( length &quot;0.00&quot; m ) &quot;"/>
    <numFmt numFmtId="282" formatCode="0&quot; min.&quot;"/>
    <numFmt numFmtId="283" formatCode="0&quot; KW / MLD&quot;"/>
    <numFmt numFmtId="284" formatCode="0.00&quot; to&quot;"/>
    <numFmt numFmtId="285" formatCode="&quot; 1 in &quot;0"/>
    <numFmt numFmtId="286" formatCode="&quot; or &quot;0&quot; % &quot;"/>
    <numFmt numFmtId="287" formatCode="&quot; x ( &quot;0&quot; x &quot;"/>
    <numFmt numFmtId="288" formatCode="0.00&quot; + &quot;"/>
    <numFmt numFmtId="289" formatCode="0&quot; % of &quot;"/>
    <numFmt numFmtId="290" formatCode="&quot; = &quot;0.0000&quot; m&quot;"/>
    <numFmt numFmtId="291" formatCode="0&quot; mm &quot;"/>
    <numFmt numFmtId="292" formatCode="0.00&quot; x 4 &quot;"/>
    <numFmt numFmtId="293" formatCode="&quot; x &quot;0.00"/>
    <numFmt numFmtId="294" formatCode="&quot; x &quot;0.0&quot; x &quot;"/>
    <numFmt numFmtId="295" formatCode="0&quot; Kg / m &quot;"/>
    <numFmt numFmtId="296" formatCode="0.0&quot; )   =&quot;"/>
    <numFmt numFmtId="297" formatCode="&quot; = ( 1 / 2 ) x &quot;0.00&quot; x &quot;"/>
    <numFmt numFmtId="298" formatCode="0.00&quot; / &quot;"/>
    <numFmt numFmtId="299" formatCode="0.00&quot;     / &quot;"/>
    <numFmt numFmtId="300" formatCode="&quot; ( &quot;0.0&quot; to &quot;"/>
    <numFmt numFmtId="301" formatCode="0&quot; % ) &quot;"/>
    <numFmt numFmtId="302" formatCode="0.0&quot; / &quot;"/>
    <numFmt numFmtId="303" formatCode="0.00&quot; %&quot;"/>
    <numFmt numFmtId="304" formatCode="0&quot; nos. &quot;"/>
    <numFmt numFmtId="305" formatCode="0.0&quot; m height &quot;"/>
    <numFmt numFmtId="306" formatCode="&quot; Say &quot;0&quot; m &quot;"/>
    <numFmt numFmtId="307" formatCode="0.0&quot; x 60 x 60 &quot;"/>
    <numFmt numFmtId="308" formatCode="0.00&quot; ) &quot;"/>
    <numFmt numFmtId="309" formatCode="0.0&quot; ) = &quot;"/>
    <numFmt numFmtId="310" formatCode="0.00&quot; say &quot;"/>
    <numFmt numFmtId="311" formatCode="&quot; ( &quot;0.0&quot; + &quot;"/>
    <numFmt numFmtId="312" formatCode="&quot; say &quot;0.0&quot; m &quot;"/>
    <numFmt numFmtId="313" formatCode="0&quot; )     = &quot;"/>
    <numFmt numFmtId="314" formatCode="&quot; + &quot;0.00"/>
    <numFmt numFmtId="315" formatCode="&quot; = ( 3.14 x &quot;0&quot; ) = &quot;"/>
    <numFmt numFmtId="316" formatCode="&quot; ( &gt; ) &quot;0.0&quot; % &quot;"/>
    <numFmt numFmtId="317" formatCode="0&quot; m &quot;"/>
    <numFmt numFmtId="318" formatCode="&quot; ( &gt; ) &quot;0.0&quot; m &quot;"/>
    <numFmt numFmtId="319" formatCode="0.00&quot; : 1&quot;"/>
    <numFmt numFmtId="320" formatCode="0&quot; Filters&quot;"/>
    <numFmt numFmtId="321" formatCode="&quot; = &quot;0.0&quot; m &quot;"/>
    <numFmt numFmtId="322" formatCode="&quot; = &quot;0&quot; m &quot;"/>
    <numFmt numFmtId="323" formatCode="0.0&quot; m x &quot;"/>
    <numFmt numFmtId="324" formatCode="&quot;Say &quot;0.0&quot; m&quot;"/>
    <numFmt numFmtId="325" formatCode="&quot; B x &quot;0"/>
    <numFmt numFmtId="326" formatCode="0&quot; x 2 m &quot;"/>
    <numFmt numFmtId="327" formatCode="0.0&quot; mm &quot;"/>
    <numFmt numFmtId="328" formatCode="&quot; x &quot;0"/>
    <numFmt numFmtId="329" formatCode="0.0&quot; mm to &quot;"/>
    <numFmt numFmtId="330" formatCode="0&quot; mm to &quot;"/>
    <numFmt numFmtId="331" formatCode="0&quot; mm   (&quot;"/>
    <numFmt numFmtId="332" formatCode="0.00&quot; L&quot;"/>
    <numFmt numFmtId="333" formatCode="&quot; = &quot;0.00000&quot; m &quot;"/>
    <numFmt numFmtId="334" formatCode="&quot; = &quot;0.00&quot; cm &quot;"/>
    <numFmt numFmtId="335" formatCode="&quot; ( &quot;0.0&quot; x &quot;"/>
    <numFmt numFmtId="336" formatCode="0.0&quot; ) &quot;"/>
    <numFmt numFmtId="337" formatCode="&quot; = &quot;0.0&quot; cm &quot;"/>
    <numFmt numFmtId="338" formatCode="0&quot; cm &quot;"/>
    <numFmt numFmtId="339" formatCode="&quot;say &quot;0&quot; mm&quot;"/>
    <numFmt numFmtId="340" formatCode="&quot; = &quot;0&quot; on either side &quot;"/>
    <numFmt numFmtId="341" formatCode="0&quot; Units &quot;"/>
    <numFmt numFmtId="342" formatCode="&quot; x &quot;0.0&quot; ) &quot;"/>
    <numFmt numFmtId="343" formatCode="0.0&quot; ) -     ( &quot;"/>
    <numFmt numFmtId="344" formatCode="0.0&quot; mm diameter &quot;"/>
    <numFmt numFmtId="345" formatCode="&quot;  x ( &quot;0.0&quot; ) &quot;"/>
    <numFmt numFmtId="346" formatCode="&quot; say &quot;0"/>
    <numFmt numFmtId="347" formatCode="&quot; = &quot;0.00"/>
    <numFmt numFmtId="348" formatCode="&quot; = &quot;0.00&quot; cm C / C &quot;"/>
    <numFmt numFmtId="349" formatCode="&quot; Provide &quot;0"/>
    <numFmt numFmtId="350" formatCode="&quot; perforations of &quot;0.0&quot; mm diameter at &quot;"/>
    <numFmt numFmtId="351" formatCode="0&quot; cm C / C &quot;"/>
    <numFmt numFmtId="352" formatCode="&quot; ( &quot;0&quot; x &quot;"/>
    <numFmt numFmtId="353" formatCode="0.00&quot; m for &quot;"/>
    <numFmt numFmtId="354" formatCode="0.0&quot; x &quot;"/>
    <numFmt numFmtId="355" formatCode="0.000&quot; x &quot;"/>
    <numFmt numFmtId="356" formatCode="0.00&quot; x ( h ) &quot;"/>
    <numFmt numFmtId="357" formatCode="&quot; say &quot;0.0"/>
    <numFmt numFmtId="358" formatCode="0&quot; ) &quot;"/>
    <numFmt numFmtId="359" formatCode="0.0&quot; min.&quot;"/>
    <numFmt numFmtId="360" formatCode="0&quot; p.p.m. &quot;"/>
    <numFmt numFmtId="361" formatCode="&quot; For &quot;0&quot; Months &quot;"/>
    <numFmt numFmtId="362" formatCode="&quot; = ( &quot;0.00&quot; x &quot;"/>
    <numFmt numFmtId="363" formatCode="0&quot; Cylinders of &quot;"/>
    <numFmt numFmtId="364" formatCode="0&quot; ) = &quot;"/>
    <numFmt numFmtId="365" formatCode="&quot; to &quot;0&quot; mg / L &quot;"/>
    <numFmt numFmtId="366" formatCode="&quot; Say &quot;0.00&quot; m &quot;"/>
    <numFmt numFmtId="367" formatCode="&quot; P = &quot;0.00&quot; x &quot;"/>
    <numFmt numFmtId="368" formatCode="&quot; Say &quot;0.00&quot; mm C / C &quot;"/>
  </numFmts>
  <fonts count="32" x14ac:knownFonts="1">
    <font>
      <sz val="11"/>
      <color theme="1"/>
      <name val="Calibri"/>
      <family val="2"/>
      <scheme val="minor"/>
    </font>
    <font>
      <sz val="11"/>
      <color theme="1"/>
      <name val="Times New Roman"/>
      <family val="1"/>
    </font>
    <font>
      <b/>
      <sz val="11"/>
      <color theme="1"/>
      <name val="Times New Roman"/>
      <family val="1"/>
    </font>
    <font>
      <b/>
      <u/>
      <sz val="11"/>
      <color theme="1"/>
      <name val="Times New Roman"/>
      <family val="1"/>
    </font>
    <font>
      <sz val="11"/>
      <color rgb="FFFF0000"/>
      <name val="Times New Roman"/>
      <family val="1"/>
    </font>
    <font>
      <i/>
      <sz val="11"/>
      <color theme="1"/>
      <name val="Times New Roman"/>
      <family val="1"/>
    </font>
    <font>
      <b/>
      <vertAlign val="superscript"/>
      <sz val="11"/>
      <color theme="1"/>
      <name val="Times New Roman"/>
      <family val="1"/>
    </font>
    <font>
      <vertAlign val="subscript"/>
      <sz val="11"/>
      <color theme="1"/>
      <name val="Times New Roman"/>
      <family val="1"/>
    </font>
    <font>
      <b/>
      <i/>
      <sz val="11"/>
      <color theme="1"/>
      <name val="Times New Roman"/>
      <family val="1"/>
    </font>
    <font>
      <b/>
      <vertAlign val="subscript"/>
      <sz val="11"/>
      <color theme="1"/>
      <name val="Times New Roman"/>
      <family val="1"/>
    </font>
    <font>
      <b/>
      <u/>
      <sz val="10"/>
      <color theme="1"/>
      <name val="Times New Roman"/>
      <family val="1"/>
    </font>
    <font>
      <u/>
      <sz val="11"/>
      <color theme="1"/>
      <name val="Times New Roman"/>
      <family val="1"/>
    </font>
    <font>
      <sz val="8"/>
      <color theme="1"/>
      <name val="Times New Roman"/>
      <family val="1"/>
    </font>
    <font>
      <sz val="9"/>
      <color theme="1"/>
      <name val="Times New Roman"/>
      <family val="1"/>
    </font>
    <font>
      <sz val="10"/>
      <color rgb="FFFF0000"/>
      <name val="Times New Roman"/>
      <family val="1"/>
    </font>
    <font>
      <u/>
      <sz val="11"/>
      <color rgb="FFFF0000"/>
      <name val="Times New Roman"/>
      <family val="1"/>
    </font>
    <font>
      <u/>
      <vertAlign val="superscript"/>
      <sz val="11"/>
      <color theme="1"/>
      <name val="Times New Roman"/>
      <family val="1"/>
    </font>
    <font>
      <b/>
      <u/>
      <sz val="12"/>
      <color theme="1"/>
      <name val="Times New Roman"/>
      <family val="1"/>
    </font>
    <font>
      <sz val="11"/>
      <name val="Times New Roman"/>
      <family val="1"/>
    </font>
    <font>
      <b/>
      <sz val="11"/>
      <name val="Times New Roman"/>
      <family val="1"/>
    </font>
    <font>
      <sz val="10"/>
      <color theme="1"/>
      <name val="Times New Roman"/>
      <family val="1"/>
    </font>
    <font>
      <u/>
      <sz val="11"/>
      <name val="Times New Roman"/>
      <family val="1"/>
    </font>
    <font>
      <vertAlign val="superscript"/>
      <sz val="11"/>
      <color theme="1"/>
      <name val="Times New Roman"/>
      <family val="1"/>
    </font>
    <font>
      <b/>
      <sz val="10"/>
      <color theme="1"/>
      <name val="Times New Roman"/>
      <family val="1"/>
    </font>
    <font>
      <b/>
      <vertAlign val="subscript"/>
      <sz val="10"/>
      <color theme="1"/>
      <name val="Times New Roman"/>
      <family val="1"/>
    </font>
    <font>
      <sz val="9"/>
      <color rgb="FFFF0000"/>
      <name val="Times New Roman"/>
      <family val="1"/>
    </font>
    <font>
      <vertAlign val="superscript"/>
      <sz val="11"/>
      <color rgb="FFFF0000"/>
      <name val="Times New Roman"/>
      <family val="1"/>
    </font>
    <font>
      <b/>
      <vertAlign val="superscript"/>
      <sz val="11"/>
      <color rgb="FFFF0000"/>
      <name val="Times New Roman"/>
      <family val="1"/>
    </font>
    <font>
      <b/>
      <sz val="11"/>
      <color rgb="FFFF0000"/>
      <name val="Times New Roman"/>
      <family val="1"/>
    </font>
    <font>
      <vertAlign val="superscript"/>
      <sz val="10"/>
      <color theme="1"/>
      <name val="Times New Roman"/>
      <family val="1"/>
    </font>
    <font>
      <b/>
      <i/>
      <sz val="10"/>
      <color theme="1"/>
      <name val="Times New Roman"/>
      <family val="1"/>
    </font>
    <font>
      <b/>
      <i/>
      <sz val="10"/>
      <color rgb="FFFF0000"/>
      <name val="Times New Roman"/>
      <family val="1"/>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9" tint="0.59996337778862885"/>
        <bgColor indexed="64"/>
      </patternFill>
    </fill>
    <fill>
      <patternFill patternType="solid">
        <fgColor theme="3"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
    <xf numFmtId="0" fontId="0" fillId="0" borderId="0"/>
  </cellStyleXfs>
  <cellXfs count="690">
    <xf numFmtId="0" fontId="0" fillId="0" borderId="0" xfId="0"/>
    <xf numFmtId="0" fontId="1"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applyAlignment="1">
      <alignment horizontal="center" vertical="center" wrapText="1"/>
    </xf>
    <xf numFmtId="0" fontId="2" fillId="0" borderId="0" xfId="0" quotePrefix="1" applyFont="1" applyAlignment="1">
      <alignment horizontal="left" vertical="center" wrapText="1"/>
    </xf>
    <xf numFmtId="168" fontId="4" fillId="0" borderId="0" xfId="0" applyNumberFormat="1" applyFont="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171" fontId="1" fillId="0" borderId="2" xfId="0" applyNumberFormat="1" applyFont="1" applyBorder="1" applyAlignment="1">
      <alignment horizontal="right" vertical="center" wrapText="1"/>
    </xf>
    <xf numFmtId="0" fontId="8" fillId="0" borderId="0" xfId="0" applyFont="1" applyAlignment="1">
      <alignment horizontal="center" vertical="center" wrapText="1"/>
    </xf>
    <xf numFmtId="0" fontId="1" fillId="0" borderId="2" xfId="0" applyFont="1" applyBorder="1" applyAlignment="1">
      <alignment horizontal="center" vertical="center" wrapText="1"/>
    </xf>
    <xf numFmtId="0" fontId="8" fillId="2" borderId="1" xfId="0" applyFont="1" applyFill="1" applyBorder="1" applyAlignment="1">
      <alignment horizontal="center" vertical="center" wrapText="1"/>
    </xf>
    <xf numFmtId="171" fontId="4" fillId="0" borderId="2" xfId="0" applyNumberFormat="1" applyFont="1" applyBorder="1" applyAlignment="1">
      <alignment horizontal="right" vertical="center" wrapText="1"/>
    </xf>
    <xf numFmtId="172" fontId="4" fillId="0" borderId="6" xfId="0" applyNumberFormat="1" applyFont="1" applyBorder="1" applyAlignment="1">
      <alignment horizontal="left" vertical="center" wrapText="1"/>
    </xf>
    <xf numFmtId="0" fontId="11" fillId="0" borderId="0" xfId="0" applyFont="1" applyAlignment="1">
      <alignment horizontal="center" vertical="center" wrapText="1"/>
    </xf>
    <xf numFmtId="171" fontId="4" fillId="0" borderId="9" xfId="0" applyNumberFormat="1" applyFont="1" applyBorder="1" applyAlignment="1">
      <alignment horizontal="right" vertical="center" wrapText="1"/>
    </xf>
    <xf numFmtId="173" fontId="4" fillId="0" borderId="10" xfId="0" applyNumberFormat="1" applyFont="1" applyBorder="1" applyAlignment="1">
      <alignment horizontal="center" vertical="center" wrapText="1"/>
    </xf>
    <xf numFmtId="0" fontId="12" fillId="0" borderId="10" xfId="0" applyFont="1" applyBorder="1" applyAlignment="1">
      <alignment horizontal="center" vertical="center" wrapText="1"/>
    </xf>
    <xf numFmtId="173" fontId="4" fillId="0" borderId="6" xfId="0" applyNumberFormat="1" applyFont="1" applyBorder="1" applyAlignment="1">
      <alignment horizontal="left" vertical="center" wrapText="1"/>
    </xf>
    <xf numFmtId="177" fontId="4" fillId="0" borderId="2" xfId="0" applyNumberFormat="1" applyFont="1" applyBorder="1" applyAlignment="1">
      <alignment vertical="center" wrapText="1"/>
    </xf>
    <xf numFmtId="0" fontId="13" fillId="0" borderId="6" xfId="0" applyFont="1" applyBorder="1" applyAlignment="1">
      <alignment horizontal="center" vertical="center" wrapText="1"/>
    </xf>
    <xf numFmtId="178" fontId="4" fillId="0" borderId="3"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74" fontId="14" fillId="0" borderId="8" xfId="0" applyNumberFormat="1" applyFont="1" applyBorder="1" applyAlignment="1">
      <alignment horizontal="center" vertical="center" wrapText="1"/>
    </xf>
    <xf numFmtId="175" fontId="1" fillId="0" borderId="0" xfId="0" applyNumberFormat="1" applyFont="1" applyAlignment="1">
      <alignment horizontal="center" vertical="center" wrapText="1"/>
    </xf>
    <xf numFmtId="182" fontId="1" fillId="0" borderId="0" xfId="0" applyNumberFormat="1" applyFont="1" applyBorder="1" applyAlignment="1">
      <alignment horizontal="right" vertical="center" wrapText="1"/>
    </xf>
    <xf numFmtId="183" fontId="1" fillId="0" borderId="0" xfId="0" applyNumberFormat="1" applyFont="1" applyAlignment="1">
      <alignment horizontal="center" vertical="center" wrapText="1"/>
    </xf>
    <xf numFmtId="181" fontId="1" fillId="0" borderId="0" xfId="0" applyNumberFormat="1" applyFont="1" applyBorder="1" applyAlignment="1">
      <alignment horizontal="right"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181" fontId="1" fillId="0" borderId="0" xfId="0" applyNumberFormat="1" applyFont="1" applyAlignment="1">
      <alignment horizontal="center" vertical="center" wrapText="1"/>
    </xf>
    <xf numFmtId="178" fontId="1" fillId="0" borderId="0" xfId="0" applyNumberFormat="1" applyFont="1" applyAlignment="1">
      <alignment horizontal="left" vertical="center" wrapText="1"/>
    </xf>
    <xf numFmtId="184" fontId="1" fillId="0" borderId="0" xfId="0" applyNumberFormat="1" applyFont="1" applyAlignment="1">
      <alignment horizontal="right" vertical="center" wrapText="1"/>
    </xf>
    <xf numFmtId="167" fontId="11" fillId="0" borderId="0" xfId="0" applyNumberFormat="1" applyFont="1" applyAlignment="1">
      <alignment vertical="center" wrapText="1"/>
    </xf>
    <xf numFmtId="0" fontId="15" fillId="0" borderId="0" xfId="0" applyFont="1" applyAlignment="1">
      <alignment horizontal="left" vertical="center" wrapText="1"/>
    </xf>
    <xf numFmtId="0" fontId="1" fillId="3" borderId="0" xfId="0" applyFont="1" applyFill="1" applyBorder="1" applyAlignment="1">
      <alignment vertical="center" wrapText="1"/>
    </xf>
    <xf numFmtId="173" fontId="1" fillId="0" borderId="1" xfId="0" applyNumberFormat="1" applyFont="1" applyBorder="1" applyAlignment="1">
      <alignment horizontal="center" vertical="center" wrapText="1"/>
    </xf>
    <xf numFmtId="180" fontId="1" fillId="0" borderId="1" xfId="0" applyNumberFormat="1" applyFont="1" applyBorder="1" applyAlignment="1">
      <alignment horizontal="center" vertical="center" wrapText="1"/>
    </xf>
    <xf numFmtId="0" fontId="1" fillId="0" borderId="2" xfId="0" applyFont="1" applyBorder="1" applyAlignment="1">
      <alignment horizontal="righ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185" fontId="4" fillId="0" borderId="0" xfId="0" applyNumberFormat="1" applyFont="1" applyAlignment="1">
      <alignment horizontal="right" vertical="center" wrapText="1"/>
    </xf>
    <xf numFmtId="190" fontId="1" fillId="0" borderId="0" xfId="0" applyNumberFormat="1" applyFont="1" applyBorder="1" applyAlignment="1">
      <alignment horizontal="right" vertical="center" wrapText="1"/>
    </xf>
    <xf numFmtId="0" fontId="2" fillId="0" borderId="0" xfId="0" applyFont="1" applyAlignment="1">
      <alignment vertical="center" wrapText="1"/>
    </xf>
    <xf numFmtId="0" fontId="2" fillId="0" borderId="0" xfId="0" applyFont="1" applyAlignment="1">
      <alignment horizontal="left" vertical="center" wrapText="1"/>
    </xf>
    <xf numFmtId="191" fontId="11" fillId="0" borderId="0" xfId="0" applyNumberFormat="1" applyFont="1" applyAlignment="1">
      <alignment horizontal="center" vertical="center" wrapText="1"/>
    </xf>
    <xf numFmtId="0" fontId="11" fillId="0" borderId="0" xfId="0" applyFont="1" applyAlignment="1">
      <alignment vertical="center" wrapText="1"/>
    </xf>
    <xf numFmtId="0" fontId="11" fillId="0" borderId="0" xfId="0" applyFont="1" applyAlignment="1">
      <alignment horizontal="right" vertical="center" wrapText="1"/>
    </xf>
    <xf numFmtId="194" fontId="4" fillId="0" borderId="0" xfId="0" applyNumberFormat="1" applyFont="1" applyAlignment="1">
      <alignment vertical="center" wrapText="1"/>
    </xf>
    <xf numFmtId="194" fontId="1" fillId="0" borderId="0" xfId="0" applyNumberFormat="1" applyFont="1" applyAlignment="1">
      <alignment horizontal="center" vertical="center" wrapText="1"/>
    </xf>
    <xf numFmtId="196" fontId="1" fillId="0" borderId="0" xfId="0" applyNumberFormat="1" applyFont="1" applyAlignment="1">
      <alignment horizontal="center" vertical="center" wrapText="1"/>
    </xf>
    <xf numFmtId="0" fontId="15" fillId="0" borderId="0" xfId="0" applyFont="1" applyAlignment="1">
      <alignment horizontal="center" vertical="center" wrapText="1"/>
    </xf>
    <xf numFmtId="0" fontId="11" fillId="0" borderId="0" xfId="0" quotePrefix="1" applyFont="1" applyAlignment="1">
      <alignment horizontal="left" vertical="center" wrapText="1"/>
    </xf>
    <xf numFmtId="181" fontId="4" fillId="0" borderId="0" xfId="0" applyNumberFormat="1" applyFont="1" applyAlignment="1">
      <alignment horizontal="center" vertical="center" wrapText="1"/>
    </xf>
    <xf numFmtId="0" fontId="5" fillId="0" borderId="0" xfId="0" applyFont="1" applyAlignment="1">
      <alignment horizontal="right" vertical="center" wrapText="1"/>
    </xf>
    <xf numFmtId="180" fontId="18" fillId="0" borderId="0" xfId="0" applyNumberFormat="1" applyFont="1" applyBorder="1" applyAlignment="1">
      <alignment horizontal="left" vertical="center" wrapText="1"/>
    </xf>
    <xf numFmtId="173" fontId="18" fillId="0" borderId="0" xfId="0" applyNumberFormat="1" applyFont="1" applyBorder="1" applyAlignment="1">
      <alignment horizontal="left" vertical="center" wrapText="1"/>
    </xf>
    <xf numFmtId="0" fontId="3" fillId="0" borderId="0" xfId="0" applyFont="1" applyAlignment="1">
      <alignment vertical="center" wrapText="1"/>
    </xf>
    <xf numFmtId="188" fontId="4" fillId="0" borderId="0" xfId="0" applyNumberFormat="1" applyFont="1" applyAlignment="1">
      <alignment vertical="center" wrapText="1"/>
    </xf>
    <xf numFmtId="201" fontId="1" fillId="0" borderId="0" xfId="0" applyNumberFormat="1" applyFont="1" applyAlignment="1">
      <alignment horizontal="center" vertical="center" wrapText="1"/>
    </xf>
    <xf numFmtId="0" fontId="4" fillId="0" borderId="0" xfId="0" applyFont="1" applyAlignment="1">
      <alignment horizontal="left" vertical="center" wrapText="1"/>
    </xf>
    <xf numFmtId="2" fontId="11" fillId="0" borderId="0" xfId="0" applyNumberFormat="1" applyFont="1" applyAlignment="1">
      <alignment horizontal="center" vertical="center" wrapText="1"/>
    </xf>
    <xf numFmtId="16" fontId="2" fillId="0" borderId="0" xfId="0" quotePrefix="1" applyNumberFormat="1" applyFont="1" applyAlignment="1">
      <alignment horizontal="left" vertical="center" wrapText="1"/>
    </xf>
    <xf numFmtId="183" fontId="1" fillId="0" borderId="0" xfId="0" applyNumberFormat="1" applyFont="1" applyAlignment="1">
      <alignment horizontal="right" vertical="center" wrapText="1"/>
    </xf>
    <xf numFmtId="20" fontId="4" fillId="0" borderId="0" xfId="0" quotePrefix="1" applyNumberFormat="1" applyFont="1" applyAlignment="1">
      <alignment horizontal="center" vertical="center" wrapText="1"/>
    </xf>
    <xf numFmtId="203" fontId="4" fillId="0" borderId="0" xfId="0" applyNumberFormat="1" applyFont="1" applyAlignment="1">
      <alignment vertical="center" wrapText="1"/>
    </xf>
    <xf numFmtId="204" fontId="4" fillId="0" borderId="0" xfId="0" applyNumberFormat="1" applyFont="1" applyAlignment="1">
      <alignment horizontal="right" vertical="center" wrapText="1"/>
    </xf>
    <xf numFmtId="0" fontId="1" fillId="0" borderId="0" xfId="0" applyFont="1" applyAlignment="1">
      <alignment vertical="center" wrapText="1"/>
    </xf>
    <xf numFmtId="175" fontId="1" fillId="0" borderId="0" xfId="0" applyNumberFormat="1" applyFont="1" applyAlignment="1">
      <alignment horizontal="left" vertical="center" wrapText="1"/>
    </xf>
    <xf numFmtId="180" fontId="4" fillId="0" borderId="0" xfId="0" applyNumberFormat="1" applyFont="1" applyAlignment="1">
      <alignment horizontal="center" vertical="center" wrapText="1"/>
    </xf>
    <xf numFmtId="201" fontId="1" fillId="0" borderId="0" xfId="0" applyNumberFormat="1" applyFont="1" applyAlignment="1">
      <alignment vertical="center" wrapText="1"/>
    </xf>
    <xf numFmtId="181" fontId="4" fillId="0" borderId="0" xfId="0" applyNumberFormat="1"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right"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1" fillId="0" borderId="0" xfId="0" applyFont="1" applyAlignment="1">
      <alignment horizontal="left" vertical="center" wrapText="1"/>
    </xf>
    <xf numFmtId="199" fontId="4" fillId="0" borderId="0" xfId="0" applyNumberFormat="1" applyFont="1" applyAlignment="1">
      <alignment horizontal="left" vertical="center" wrapText="1"/>
    </xf>
    <xf numFmtId="180" fontId="4" fillId="0" borderId="0" xfId="0" applyNumberFormat="1" applyFont="1" applyBorder="1" applyAlignment="1">
      <alignment horizontal="left" vertical="center" wrapText="1"/>
    </xf>
    <xf numFmtId="183" fontId="1" fillId="0" borderId="0" xfId="0" applyNumberFormat="1" applyFont="1" applyAlignment="1">
      <alignment vertical="center" wrapText="1"/>
    </xf>
    <xf numFmtId="166" fontId="18" fillId="0" borderId="0" xfId="0" applyNumberFormat="1" applyFont="1" applyAlignment="1">
      <alignment horizontal="center" vertical="center" wrapText="1"/>
    </xf>
    <xf numFmtId="181" fontId="19" fillId="0" borderId="0" xfId="0" applyNumberFormat="1" applyFont="1" applyAlignment="1">
      <alignment vertical="center" wrapText="1"/>
    </xf>
    <xf numFmtId="172" fontId="4" fillId="0" borderId="0" xfId="0" applyNumberFormat="1" applyFont="1" applyAlignment="1">
      <alignment horizontal="left" vertical="center" wrapText="1"/>
    </xf>
    <xf numFmtId="208" fontId="1" fillId="0" borderId="0" xfId="0" applyNumberFormat="1" applyFont="1" applyAlignment="1">
      <alignment horizontal="center" vertical="center" wrapText="1"/>
    </xf>
    <xf numFmtId="209" fontId="1" fillId="0" borderId="0" xfId="0" applyNumberFormat="1" applyFont="1" applyAlignment="1">
      <alignment horizontal="right" vertical="center" wrapText="1"/>
    </xf>
    <xf numFmtId="181" fontId="1" fillId="0" borderId="0" xfId="0" applyNumberFormat="1" applyFont="1" applyAlignment="1">
      <alignment vertical="center" wrapText="1"/>
    </xf>
    <xf numFmtId="181" fontId="1" fillId="0" borderId="0" xfId="0" quotePrefix="1" applyNumberFormat="1" applyFont="1" applyAlignment="1">
      <alignment horizontal="left" vertical="center" wrapText="1"/>
    </xf>
    <xf numFmtId="0" fontId="11" fillId="0" borderId="0" xfId="0" applyFont="1" applyAlignment="1">
      <alignment horizontal="right"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4"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0" xfId="0" quotePrefix="1" applyFont="1" applyAlignment="1">
      <alignment horizontal="left" vertical="center" wrapText="1"/>
    </xf>
    <xf numFmtId="0" fontId="11" fillId="0" borderId="0" xfId="0" applyFont="1" applyAlignment="1">
      <alignment horizontal="center" vertical="center" wrapText="1"/>
    </xf>
    <xf numFmtId="0" fontId="2" fillId="0" borderId="0" xfId="0" applyFont="1" applyAlignment="1">
      <alignment horizontal="left" vertical="center" wrapText="1"/>
    </xf>
    <xf numFmtId="181" fontId="4" fillId="0" borderId="0" xfId="0" applyNumberFormat="1" applyFont="1" applyAlignment="1">
      <alignment horizontal="center" vertical="center" wrapText="1"/>
    </xf>
    <xf numFmtId="210" fontId="4" fillId="0" borderId="0" xfId="0" applyNumberFormat="1" applyFont="1" applyAlignment="1">
      <alignment horizontal="center" vertical="center" wrapText="1"/>
    </xf>
    <xf numFmtId="0" fontId="1" fillId="0" borderId="0" xfId="0" applyFont="1" applyAlignment="1">
      <alignment vertical="center" wrapText="1"/>
    </xf>
    <xf numFmtId="212" fontId="1" fillId="0" borderId="0" xfId="0" applyNumberFormat="1" applyFont="1" applyAlignment="1">
      <alignment horizontal="center" vertical="center" wrapText="1"/>
    </xf>
    <xf numFmtId="173" fontId="4" fillId="0" borderId="0" xfId="0" applyNumberFormat="1" applyFont="1" applyAlignment="1">
      <alignment horizontal="center" vertical="center" wrapText="1"/>
    </xf>
    <xf numFmtId="167" fontId="11" fillId="0" borderId="0" xfId="0" applyNumberFormat="1" applyFont="1" applyAlignment="1">
      <alignment horizontal="right" vertical="center" wrapText="1"/>
    </xf>
    <xf numFmtId="217" fontId="11" fillId="0" borderId="0" xfId="0" applyNumberFormat="1" applyFont="1" applyAlignment="1">
      <alignment horizontal="center" vertical="center" wrapText="1"/>
    </xf>
    <xf numFmtId="166" fontId="1" fillId="0" borderId="0" xfId="0" applyNumberFormat="1" applyFont="1" applyAlignment="1">
      <alignment horizontal="right" vertical="center" wrapText="1"/>
    </xf>
    <xf numFmtId="167" fontId="1" fillId="0" borderId="0" xfId="0" applyNumberFormat="1" applyFont="1" applyAlignment="1">
      <alignment horizontal="center" vertical="center" wrapText="1"/>
    </xf>
    <xf numFmtId="190" fontId="1" fillId="0" borderId="0" xfId="0" applyNumberFormat="1" applyFont="1" applyAlignment="1">
      <alignment horizontal="center" vertical="center" wrapText="1"/>
    </xf>
    <xf numFmtId="211" fontId="1" fillId="0" borderId="0" xfId="0" applyNumberFormat="1" applyFont="1" applyAlignment="1">
      <alignment horizontal="right" vertical="center" wrapText="1"/>
    </xf>
    <xf numFmtId="215" fontId="1" fillId="0" borderId="0" xfId="0" applyNumberFormat="1" applyFont="1" applyAlignment="1">
      <alignment horizontal="right" vertical="center" wrapText="1"/>
    </xf>
    <xf numFmtId="181" fontId="4" fillId="0" borderId="0" xfId="0" applyNumberFormat="1" applyFont="1" applyBorder="1" applyAlignment="1">
      <alignment horizontal="left" vertical="center" wrapText="1"/>
    </xf>
    <xf numFmtId="166" fontId="15" fillId="0" borderId="0" xfId="0" applyNumberFormat="1" applyFont="1" applyAlignment="1">
      <alignment horizontal="right" vertical="center" wrapText="1"/>
    </xf>
    <xf numFmtId="0" fontId="21" fillId="0" borderId="0" xfId="0" applyFont="1" applyAlignment="1">
      <alignment horizontal="left" vertical="center" wrapText="1"/>
    </xf>
    <xf numFmtId="221" fontId="4" fillId="0" borderId="0" xfId="0" applyNumberFormat="1" applyFont="1" applyAlignment="1">
      <alignment horizontal="center" vertical="center" wrapText="1"/>
    </xf>
    <xf numFmtId="189" fontId="4" fillId="0" borderId="0" xfId="0" applyNumberFormat="1" applyFont="1" applyAlignment="1">
      <alignment horizontal="left" vertical="center" wrapText="1"/>
    </xf>
    <xf numFmtId="173" fontId="1" fillId="0" borderId="0" xfId="0" applyNumberFormat="1" applyFont="1" applyBorder="1" applyAlignment="1">
      <alignment vertical="center" wrapText="1"/>
    </xf>
    <xf numFmtId="0" fontId="1" fillId="0" borderId="0" xfId="0" applyNumberFormat="1" applyFont="1" applyAlignment="1">
      <alignment horizontal="center" vertical="center" wrapText="1"/>
    </xf>
    <xf numFmtId="0" fontId="4" fillId="0" borderId="0" xfId="0" applyNumberFormat="1" applyFont="1" applyAlignment="1">
      <alignment horizontal="left" vertical="center" wrapText="1"/>
    </xf>
    <xf numFmtId="224" fontId="4" fillId="0" borderId="0" xfId="0" applyNumberFormat="1" applyFont="1" applyAlignment="1">
      <alignment horizontal="right" vertical="center" wrapText="1"/>
    </xf>
    <xf numFmtId="199" fontId="4" fillId="0" borderId="0" xfId="0" applyNumberFormat="1" applyFont="1" applyAlignment="1">
      <alignment horizontal="right" vertical="center" wrapText="1"/>
    </xf>
    <xf numFmtId="226" fontId="4" fillId="0" borderId="0" xfId="0" applyNumberFormat="1" applyFont="1" applyAlignment="1">
      <alignment vertical="center" wrapText="1"/>
    </xf>
    <xf numFmtId="209" fontId="4" fillId="0" borderId="0" xfId="0" applyNumberFormat="1" applyFont="1" applyAlignment="1">
      <alignment horizontal="right" vertical="center" wrapText="1"/>
    </xf>
    <xf numFmtId="0" fontId="2" fillId="0" borderId="0" xfId="0" applyNumberFormat="1" applyFont="1" applyAlignment="1">
      <alignment horizontal="left" vertical="center" wrapText="1"/>
    </xf>
    <xf numFmtId="180" fontId="4" fillId="0" borderId="0" xfId="0" applyNumberFormat="1" applyFont="1" applyBorder="1" applyAlignment="1">
      <alignment horizontal="right" vertical="center" wrapText="1"/>
    </xf>
    <xf numFmtId="227" fontId="4" fillId="0" borderId="0" xfId="0" applyNumberFormat="1" applyFont="1" applyBorder="1" applyAlignment="1">
      <alignment horizontal="right" vertical="center" wrapText="1"/>
    </xf>
    <xf numFmtId="0" fontId="1" fillId="0" borderId="0" xfId="0" applyNumberFormat="1" applyFont="1" applyAlignment="1">
      <alignment horizontal="right" vertical="center" wrapText="1"/>
    </xf>
    <xf numFmtId="180" fontId="1" fillId="0" borderId="0" xfId="0" applyNumberFormat="1" applyFont="1" applyAlignment="1">
      <alignment horizontal="left" vertical="center" wrapText="1"/>
    </xf>
    <xf numFmtId="172" fontId="1" fillId="0" borderId="0" xfId="0" applyNumberFormat="1" applyFont="1" applyAlignment="1">
      <alignment horizontal="center" vertical="center" wrapText="1"/>
    </xf>
    <xf numFmtId="230" fontId="20" fillId="0" borderId="0" xfId="0" applyNumberFormat="1" applyFont="1" applyAlignment="1">
      <alignment horizontal="center" vertical="center" wrapText="1"/>
    </xf>
    <xf numFmtId="231" fontId="20" fillId="0" borderId="0" xfId="0" applyNumberFormat="1" applyFont="1" applyAlignment="1">
      <alignment horizontal="center" vertical="center" wrapText="1"/>
    </xf>
    <xf numFmtId="232" fontId="1" fillId="0" borderId="0" xfId="0" applyNumberFormat="1" applyFont="1" applyAlignment="1">
      <alignment horizontal="center" vertical="center" wrapText="1"/>
    </xf>
    <xf numFmtId="166" fontId="11" fillId="0" borderId="0" xfId="0" applyNumberFormat="1" applyFont="1" applyAlignment="1">
      <alignment horizontal="right" vertical="center" wrapText="1"/>
    </xf>
    <xf numFmtId="166" fontId="15" fillId="0" borderId="0" xfId="0" applyNumberFormat="1" applyFont="1" applyAlignment="1">
      <alignment horizontal="center" vertical="center" wrapText="1"/>
    </xf>
    <xf numFmtId="233" fontId="4" fillId="0" borderId="0" xfId="0" applyNumberFormat="1" applyFont="1" applyAlignment="1">
      <alignment horizontal="center" vertical="center" wrapText="1"/>
    </xf>
    <xf numFmtId="236" fontId="1" fillId="0" borderId="0" xfId="0" applyNumberFormat="1" applyFont="1" applyAlignment="1">
      <alignment vertical="center" wrapText="1"/>
    </xf>
    <xf numFmtId="236" fontId="4" fillId="0" borderId="0" xfId="0" applyNumberFormat="1"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righ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2" fontId="1" fillId="0" borderId="0" xfId="0" applyNumberFormat="1" applyFont="1" applyAlignment="1">
      <alignment horizontal="center" vertical="center" wrapText="1"/>
    </xf>
    <xf numFmtId="2" fontId="11" fillId="0" borderId="0" xfId="0" applyNumberFormat="1" applyFont="1" applyAlignment="1">
      <alignment horizontal="center" vertical="center" wrapText="1"/>
    </xf>
    <xf numFmtId="242" fontId="1" fillId="0" borderId="0" xfId="0" applyNumberFormat="1" applyFont="1" applyAlignment="1">
      <alignment horizontal="right" vertical="center" wrapText="1"/>
    </xf>
    <xf numFmtId="243" fontId="1" fillId="0" borderId="0" xfId="0" applyNumberFormat="1" applyFont="1" applyAlignment="1">
      <alignment horizontal="center" vertical="center" wrapText="1"/>
    </xf>
    <xf numFmtId="244" fontId="1" fillId="0" borderId="0" xfId="0" applyNumberFormat="1" applyFont="1" applyAlignment="1">
      <alignment horizontal="left" vertical="center" wrapText="1"/>
    </xf>
    <xf numFmtId="242" fontId="4" fillId="0" borderId="0" xfId="0" applyNumberFormat="1" applyFont="1" applyAlignment="1">
      <alignment horizontal="right" vertical="center" wrapText="1"/>
    </xf>
    <xf numFmtId="243" fontId="4" fillId="0" borderId="0" xfId="0" applyNumberFormat="1" applyFont="1" applyAlignment="1">
      <alignment horizontal="center" vertical="center" wrapText="1"/>
    </xf>
    <xf numFmtId="244" fontId="4" fillId="0" borderId="0" xfId="0" applyNumberFormat="1" applyFont="1" applyAlignment="1">
      <alignment horizontal="left" vertical="center" wrapText="1"/>
    </xf>
    <xf numFmtId="1" fontId="1" fillId="0" borderId="0" xfId="0" applyNumberFormat="1" applyFont="1" applyAlignment="1">
      <alignment horizontal="left" vertical="center" wrapText="1"/>
    </xf>
    <xf numFmtId="250" fontId="4" fillId="0" borderId="0" xfId="0" applyNumberFormat="1" applyFont="1" applyAlignment="1">
      <alignment horizontal="center" vertical="center" wrapText="1"/>
    </xf>
    <xf numFmtId="251" fontId="4" fillId="0" borderId="0" xfId="0" applyNumberFormat="1" applyFont="1" applyAlignment="1">
      <alignment horizontal="right" vertical="center" wrapText="1"/>
    </xf>
    <xf numFmtId="166" fontId="1" fillId="0" borderId="0" xfId="0" applyNumberFormat="1" applyFont="1" applyAlignment="1">
      <alignment horizontal="center" vertical="center" wrapText="1"/>
    </xf>
    <xf numFmtId="167" fontId="11" fillId="0" borderId="0" xfId="0" applyNumberFormat="1" applyFont="1" applyAlignment="1">
      <alignment horizontal="center" vertical="center" wrapText="1"/>
    </xf>
    <xf numFmtId="167" fontId="11" fillId="0" borderId="0" xfId="0" applyNumberFormat="1" applyFont="1" applyAlignment="1">
      <alignment horizontal="center" vertical="center" wrapText="1"/>
    </xf>
    <xf numFmtId="166" fontId="11" fillId="0" borderId="0" xfId="0" applyNumberFormat="1" applyFont="1" applyAlignment="1">
      <alignment horizontal="center" vertical="center" wrapText="1"/>
    </xf>
    <xf numFmtId="166" fontId="21" fillId="0" borderId="0" xfId="0" applyNumberFormat="1" applyFont="1" applyAlignment="1">
      <alignment horizontal="center" vertical="center" wrapText="1"/>
    </xf>
    <xf numFmtId="180" fontId="1" fillId="0" borderId="0" xfId="0" applyNumberFormat="1" applyFont="1" applyBorder="1" applyAlignment="1">
      <alignment horizontal="right" vertical="center" wrapText="1"/>
    </xf>
    <xf numFmtId="181" fontId="1" fillId="0" borderId="0" xfId="0" applyNumberFormat="1" applyFont="1" applyAlignment="1">
      <alignment horizontal="right" vertical="center" wrapText="1"/>
    </xf>
    <xf numFmtId="0" fontId="18" fillId="0" borderId="0" xfId="0" applyFont="1" applyAlignment="1">
      <alignment horizontal="center" vertical="center" wrapText="1"/>
    </xf>
    <xf numFmtId="0" fontId="21" fillId="0" borderId="0" xfId="0" applyFont="1" applyAlignment="1">
      <alignment horizontal="center" vertical="center" wrapText="1"/>
    </xf>
    <xf numFmtId="263" fontId="4" fillId="0" borderId="0" xfId="0" applyNumberFormat="1" applyFont="1" applyAlignment="1">
      <alignment horizontal="right" vertical="center" wrapText="1"/>
    </xf>
    <xf numFmtId="181" fontId="18" fillId="0" borderId="0" xfId="0" applyNumberFormat="1" applyFont="1" applyAlignment="1">
      <alignment horizontal="left" vertical="center" wrapText="1"/>
    </xf>
    <xf numFmtId="181" fontId="18" fillId="0" borderId="0" xfId="0" applyNumberFormat="1" applyFont="1" applyAlignment="1">
      <alignment horizontal="right" vertical="center" wrapText="1"/>
    </xf>
    <xf numFmtId="190" fontId="18" fillId="0" borderId="0" xfId="0" applyNumberFormat="1" applyFont="1" applyAlignment="1">
      <alignment horizontal="right" vertical="center" wrapText="1"/>
    </xf>
    <xf numFmtId="181" fontId="1" fillId="0" borderId="3" xfId="0" applyNumberFormat="1" applyFont="1" applyBorder="1" applyAlignment="1">
      <alignment horizontal="left" vertical="center" wrapText="1"/>
    </xf>
    <xf numFmtId="236" fontId="18" fillId="0" borderId="0" xfId="0" applyNumberFormat="1" applyFont="1" applyAlignment="1">
      <alignment horizontal="center" vertical="center" wrapText="1"/>
    </xf>
    <xf numFmtId="254" fontId="20" fillId="0" borderId="0" xfId="0" applyNumberFormat="1" applyFont="1" applyAlignment="1">
      <alignment horizontal="center" vertical="center" wrapText="1"/>
    </xf>
    <xf numFmtId="255" fontId="14" fillId="0" borderId="0" xfId="0" applyNumberFormat="1" applyFont="1" applyAlignment="1">
      <alignment horizontal="left" vertical="center" wrapText="1"/>
    </xf>
    <xf numFmtId="265" fontId="4" fillId="0" borderId="0" xfId="0" applyNumberFormat="1" applyFont="1" applyAlignment="1">
      <alignment horizontal="center" vertical="center" wrapText="1"/>
    </xf>
    <xf numFmtId="173" fontId="4" fillId="0" borderId="0" xfId="0" applyNumberFormat="1" applyFont="1" applyAlignment="1">
      <alignment horizontal="left" vertical="center" wrapText="1"/>
    </xf>
    <xf numFmtId="180" fontId="4" fillId="0" borderId="0" xfId="0" applyNumberFormat="1" applyFont="1" applyAlignment="1">
      <alignment horizontal="left" vertical="center" wrapText="1"/>
    </xf>
    <xf numFmtId="173" fontId="4" fillId="0" borderId="0" xfId="0" applyNumberFormat="1" applyFont="1" applyAlignment="1">
      <alignment horizontal="right" vertical="center" wrapText="1"/>
    </xf>
    <xf numFmtId="0" fontId="1" fillId="0" borderId="0" xfId="0" applyFont="1" applyAlignment="1">
      <alignment horizontal="center" wrapText="1"/>
    </xf>
    <xf numFmtId="265" fontId="18" fillId="0" borderId="0" xfId="0" applyNumberFormat="1" applyFont="1" applyAlignment="1">
      <alignment horizontal="center" vertical="center" wrapText="1"/>
    </xf>
    <xf numFmtId="269" fontId="4" fillId="0" borderId="0" xfId="0" applyNumberFormat="1" applyFont="1" applyAlignment="1">
      <alignment horizontal="left" vertical="center" wrapText="1"/>
    </xf>
    <xf numFmtId="268" fontId="18" fillId="0" borderId="0" xfId="0" applyNumberFormat="1" applyFont="1" applyAlignment="1">
      <alignment horizontal="center" vertical="center" wrapText="1"/>
    </xf>
    <xf numFmtId="267" fontId="4" fillId="0" borderId="0" xfId="0" applyNumberFormat="1" applyFont="1" applyAlignment="1">
      <alignment vertical="center" wrapText="1"/>
    </xf>
    <xf numFmtId="267" fontId="18" fillId="0" borderId="0" xfId="0" applyNumberFormat="1" applyFont="1" applyAlignment="1">
      <alignment vertical="center" wrapText="1"/>
    </xf>
    <xf numFmtId="0" fontId="4" fillId="0" borderId="0" xfId="0" applyFont="1" applyAlignment="1">
      <alignment horizontal="right" vertical="center" wrapText="1"/>
    </xf>
    <xf numFmtId="190" fontId="4" fillId="0" borderId="0" xfId="0" applyNumberFormat="1" applyFont="1" applyAlignment="1">
      <alignment horizontal="right" vertical="center" wrapText="1"/>
    </xf>
    <xf numFmtId="257" fontId="11" fillId="0" borderId="0" xfId="0" applyNumberFormat="1" applyFont="1" applyAlignment="1">
      <alignment horizontal="center" vertical="center" wrapText="1"/>
    </xf>
    <xf numFmtId="181" fontId="18" fillId="0" borderId="0" xfId="0" applyNumberFormat="1" applyFont="1" applyAlignment="1">
      <alignment horizontal="center" vertical="center" wrapText="1"/>
    </xf>
    <xf numFmtId="270" fontId="4" fillId="0" borderId="0" xfId="0" applyNumberFormat="1" applyFont="1" applyAlignment="1">
      <alignment horizontal="center" vertical="center" wrapText="1"/>
    </xf>
    <xf numFmtId="167" fontId="1" fillId="0" borderId="0" xfId="0" applyNumberFormat="1" applyFont="1" applyAlignment="1">
      <alignment horizontal="right" vertical="center" wrapText="1"/>
    </xf>
    <xf numFmtId="272" fontId="4" fillId="0" borderId="0" xfId="0" applyNumberFormat="1" applyFont="1" applyAlignment="1">
      <alignment horizontal="center" vertical="center" wrapText="1"/>
    </xf>
    <xf numFmtId="274" fontId="1" fillId="0" borderId="0" xfId="0" applyNumberFormat="1" applyFont="1" applyAlignment="1">
      <alignment horizontal="right" vertical="center" wrapText="1"/>
    </xf>
    <xf numFmtId="2" fontId="1" fillId="0" borderId="0" xfId="0" applyNumberFormat="1" applyFont="1" applyAlignment="1">
      <alignment horizontal="left" vertical="center" wrapText="1"/>
    </xf>
    <xf numFmtId="0" fontId="2" fillId="0" borderId="0" xfId="0" applyFont="1" applyAlignment="1">
      <alignment horizontal="right" vertical="center" wrapText="1"/>
    </xf>
    <xf numFmtId="181" fontId="18" fillId="0" borderId="0" xfId="0" applyNumberFormat="1" applyFont="1" applyAlignment="1">
      <alignment vertical="center" wrapText="1"/>
    </xf>
    <xf numFmtId="279" fontId="4" fillId="0" borderId="0" xfId="0" applyNumberFormat="1" applyFont="1" applyAlignment="1">
      <alignment horizontal="center" vertical="center" wrapText="1"/>
    </xf>
    <xf numFmtId="275" fontId="1" fillId="0" borderId="6" xfId="0" applyNumberFormat="1" applyFont="1" applyBorder="1" applyAlignment="1">
      <alignment vertical="center" wrapText="1"/>
    </xf>
    <xf numFmtId="276" fontId="1" fillId="0" borderId="3" xfId="0" applyNumberFormat="1" applyFont="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4"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282" fontId="4" fillId="0" borderId="0" xfId="0" applyNumberFormat="1" applyFont="1" applyAlignment="1">
      <alignment horizontal="left" vertical="center" wrapText="1"/>
    </xf>
    <xf numFmtId="0" fontId="4" fillId="0" borderId="0" xfId="0" quotePrefix="1" applyFont="1" applyAlignment="1">
      <alignment horizontal="left" vertical="center" wrapText="1"/>
    </xf>
    <xf numFmtId="284" fontId="4" fillId="0" borderId="0" xfId="0" applyNumberFormat="1" applyFont="1" applyAlignment="1">
      <alignment horizontal="right" vertical="center" wrapText="1"/>
    </xf>
    <xf numFmtId="0" fontId="13" fillId="0" borderId="0" xfId="0" applyFont="1" applyAlignment="1">
      <alignment vertical="center" wrapText="1"/>
    </xf>
    <xf numFmtId="224" fontId="4" fillId="0" borderId="0" xfId="0" applyNumberFormat="1" applyFont="1" applyAlignment="1">
      <alignment horizontal="center" vertical="center" wrapText="1"/>
    </xf>
    <xf numFmtId="289" fontId="1" fillId="0" borderId="0" xfId="0" applyNumberFormat="1" applyFont="1" applyAlignment="1">
      <alignment horizontal="center" vertical="center" wrapText="1"/>
    </xf>
    <xf numFmtId="182" fontId="1" fillId="0" borderId="0" xfId="0" applyNumberFormat="1" applyFont="1" applyAlignment="1">
      <alignment horizontal="right" vertical="center" wrapText="1"/>
    </xf>
    <xf numFmtId="183" fontId="11" fillId="0" borderId="0" xfId="0" applyNumberFormat="1" applyFont="1" applyAlignment="1">
      <alignment horizontal="right" vertical="center" wrapText="1"/>
    </xf>
    <xf numFmtId="0" fontId="1" fillId="0" borderId="0" xfId="0" applyFont="1" applyAlignment="1">
      <alignment horizontal="right" vertical="center" wrapText="1"/>
    </xf>
    <xf numFmtId="291" fontId="4" fillId="0" borderId="0" xfId="0" applyNumberFormat="1" applyFont="1" applyAlignment="1">
      <alignment horizontal="center" vertical="center" wrapText="1"/>
    </xf>
    <xf numFmtId="1" fontId="11" fillId="0" borderId="0" xfId="0" applyNumberFormat="1" applyFont="1" applyAlignment="1">
      <alignment horizontal="left" vertical="center" wrapText="1"/>
    </xf>
    <xf numFmtId="290" fontId="1" fillId="0" borderId="0" xfId="0" applyNumberFormat="1" applyFont="1" applyAlignment="1">
      <alignment vertical="center" wrapText="1"/>
    </xf>
    <xf numFmtId="228" fontId="1" fillId="0" borderId="0" xfId="0" applyNumberFormat="1" applyFont="1" applyAlignment="1">
      <alignment vertical="center" wrapText="1"/>
    </xf>
    <xf numFmtId="290" fontId="2" fillId="0" borderId="0" xfId="0" applyNumberFormat="1" applyFont="1" applyAlignment="1">
      <alignment horizontal="left" vertical="center" wrapText="1"/>
    </xf>
    <xf numFmtId="292" fontId="11" fillId="0" borderId="0" xfId="0" applyNumberFormat="1" applyFont="1" applyAlignment="1">
      <alignment horizontal="center" vertical="center" wrapText="1"/>
    </xf>
    <xf numFmtId="0" fontId="1" fillId="0" borderId="0" xfId="0" applyFont="1" applyAlignment="1">
      <alignment horizontal="right" vertical="center" wrapText="1"/>
    </xf>
    <xf numFmtId="0" fontId="2" fillId="0" borderId="0" xfId="0" applyFont="1" applyAlignment="1">
      <alignment horizontal="left" vertical="center" wrapText="1"/>
    </xf>
    <xf numFmtId="207" fontId="1" fillId="0" borderId="0" xfId="0" applyNumberFormat="1" applyFont="1" applyAlignment="1">
      <alignment horizontal="right" vertical="center" wrapText="1"/>
    </xf>
    <xf numFmtId="0" fontId="18" fillId="0" borderId="0" xfId="0" applyFont="1" applyAlignment="1">
      <alignment horizontal="left" vertical="center" wrapText="1"/>
    </xf>
    <xf numFmtId="293" fontId="1" fillId="0" borderId="0" xfId="0" applyNumberFormat="1" applyFont="1" applyAlignment="1">
      <alignment horizontal="center" vertical="center" wrapText="1"/>
    </xf>
    <xf numFmtId="295" fontId="4" fillId="0" borderId="0" xfId="0" applyNumberFormat="1" applyFont="1" applyAlignment="1">
      <alignment horizontal="center" vertical="center" wrapText="1"/>
    </xf>
    <xf numFmtId="296" fontId="1" fillId="0" borderId="0" xfId="0" applyNumberFormat="1" applyFont="1" applyAlignment="1">
      <alignment horizontal="left" vertical="center" wrapText="1"/>
    </xf>
    <xf numFmtId="186" fontId="1" fillId="0" borderId="0" xfId="0" applyNumberFormat="1" applyFont="1" applyAlignment="1">
      <alignment vertical="center" wrapText="1"/>
    </xf>
    <xf numFmtId="190" fontId="1" fillId="0" borderId="0" xfId="0" applyNumberFormat="1" applyFont="1" applyAlignment="1">
      <alignment horizontal="right" vertical="center" wrapText="1"/>
    </xf>
    <xf numFmtId="298" fontId="1" fillId="0" borderId="0" xfId="0" applyNumberFormat="1" applyFont="1" applyAlignment="1">
      <alignment horizontal="center" vertical="center" wrapText="1"/>
    </xf>
    <xf numFmtId="298" fontId="1" fillId="0" borderId="0" xfId="0" applyNumberFormat="1" applyFont="1" applyAlignment="1">
      <alignment horizontal="right" vertical="center" wrapText="1"/>
    </xf>
    <xf numFmtId="299" fontId="1" fillId="0" borderId="0" xfId="0" applyNumberFormat="1" applyFont="1" applyAlignment="1">
      <alignment horizontal="right" vertical="center" wrapText="1"/>
    </xf>
    <xf numFmtId="0" fontId="1" fillId="0" borderId="0" xfId="0" applyFont="1" applyAlignment="1">
      <alignment vertical="center" wrapText="1"/>
    </xf>
    <xf numFmtId="300" fontId="1" fillId="0" borderId="0" xfId="0" applyNumberFormat="1" applyFont="1" applyAlignment="1">
      <alignment horizontal="right" vertical="center" wrapText="1"/>
    </xf>
    <xf numFmtId="301" fontId="1" fillId="0" borderId="0" xfId="0" applyNumberFormat="1" applyFont="1" applyAlignment="1">
      <alignment horizontal="left" vertical="center" wrapText="1"/>
    </xf>
    <xf numFmtId="180" fontId="1" fillId="0" borderId="0" xfId="0" applyNumberFormat="1" applyFont="1" applyAlignment="1">
      <alignment horizontal="right" vertical="center" wrapText="1"/>
    </xf>
    <xf numFmtId="302" fontId="1" fillId="0" borderId="0" xfId="0" applyNumberFormat="1" applyFont="1" applyAlignment="1">
      <alignment horizontal="right" vertical="center" wrapText="1"/>
    </xf>
    <xf numFmtId="303" fontId="1" fillId="0" borderId="0" xfId="0" applyNumberFormat="1" applyFont="1" applyAlignment="1">
      <alignment horizontal="left" vertical="center" wrapText="1"/>
    </xf>
    <xf numFmtId="304" fontId="4" fillId="0" borderId="0" xfId="0" applyNumberFormat="1" applyFont="1" applyAlignment="1">
      <alignment horizontal="center" vertical="center" wrapText="1"/>
    </xf>
    <xf numFmtId="0" fontId="4" fillId="0" borderId="0" xfId="0" applyFont="1" applyAlignment="1">
      <alignment vertical="center" wrapText="1"/>
    </xf>
    <xf numFmtId="306" fontId="4" fillId="0" borderId="0" xfId="0" applyNumberFormat="1" applyFont="1" applyAlignment="1">
      <alignment horizontal="center" vertical="center" wrapText="1"/>
    </xf>
    <xf numFmtId="218" fontId="1" fillId="0" borderId="0" xfId="0" applyNumberFormat="1" applyFont="1" applyAlignment="1">
      <alignment horizontal="right" vertical="center" wrapText="1"/>
    </xf>
    <xf numFmtId="308" fontId="1" fillId="0" borderId="0" xfId="0" applyNumberFormat="1" applyFont="1" applyAlignment="1">
      <alignment horizontal="left" vertical="center" wrapText="1"/>
    </xf>
    <xf numFmtId="275" fontId="1" fillId="0" borderId="0" xfId="0" applyNumberFormat="1" applyFont="1" applyAlignment="1">
      <alignment horizontal="right" vertical="center" wrapText="1"/>
    </xf>
    <xf numFmtId="309" fontId="1" fillId="0" borderId="0" xfId="0" applyNumberFormat="1" applyFont="1" applyAlignment="1">
      <alignment horizontal="left" vertical="center" wrapText="1"/>
    </xf>
    <xf numFmtId="190" fontId="1" fillId="0" borderId="0" xfId="0" applyNumberFormat="1" applyFont="1" applyAlignment="1">
      <alignment horizontal="left" vertical="center" wrapText="1"/>
    </xf>
    <xf numFmtId="221" fontId="1" fillId="0" borderId="0" xfId="0" applyNumberFormat="1" applyFont="1" applyAlignment="1">
      <alignment horizontal="center" vertical="center" wrapText="1"/>
    </xf>
    <xf numFmtId="268" fontId="4" fillId="0" borderId="0" xfId="0" applyNumberFormat="1" applyFont="1" applyAlignment="1">
      <alignment horizontal="left" vertical="center" wrapText="1"/>
    </xf>
    <xf numFmtId="310" fontId="1" fillId="0" borderId="0" xfId="0" applyNumberFormat="1" applyFont="1" applyAlignment="1">
      <alignment horizontal="right" vertical="center" wrapText="1"/>
    </xf>
    <xf numFmtId="311" fontId="4" fillId="0" borderId="0" xfId="0" applyNumberFormat="1" applyFont="1" applyAlignment="1">
      <alignment horizontal="center" vertical="center" wrapText="1"/>
    </xf>
    <xf numFmtId="173" fontId="18" fillId="0" borderId="0" xfId="0" applyNumberFormat="1" applyFont="1" applyAlignment="1">
      <alignment horizontal="right" vertical="center" wrapText="1"/>
    </xf>
    <xf numFmtId="287" fontId="4" fillId="0" borderId="0" xfId="0" applyNumberFormat="1" applyFont="1" applyAlignment="1">
      <alignment horizontal="left" vertical="center" wrapText="1"/>
    </xf>
    <xf numFmtId="313" fontId="4" fillId="0" borderId="0" xfId="0" applyNumberFormat="1"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4"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1" fillId="0" borderId="0" xfId="0" applyFont="1" applyAlignment="1">
      <alignment horizontal="left" vertical="center" wrapText="1"/>
    </xf>
    <xf numFmtId="0" fontId="1" fillId="2" borderId="1" xfId="0" applyFont="1" applyFill="1" applyBorder="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left" vertical="center" wrapText="1"/>
    </xf>
    <xf numFmtId="180" fontId="1" fillId="0" borderId="0" xfId="0" applyNumberFormat="1" applyFont="1" applyAlignment="1">
      <alignment horizontal="center" vertical="center" wrapText="1"/>
    </xf>
    <xf numFmtId="181" fontId="1" fillId="0" borderId="0" xfId="0" applyNumberFormat="1" applyFont="1" applyAlignment="1">
      <alignment horizontal="left" vertical="center" wrapText="1"/>
    </xf>
    <xf numFmtId="2" fontId="11" fillId="0" borderId="0" xfId="0" applyNumberFormat="1" applyFont="1" applyAlignment="1">
      <alignment horizontal="center" vertical="center" wrapText="1"/>
    </xf>
    <xf numFmtId="181" fontId="1" fillId="0" borderId="0" xfId="0" applyNumberFormat="1" applyFont="1" applyAlignment="1">
      <alignment horizontal="right" vertical="center" wrapText="1"/>
    </xf>
    <xf numFmtId="0" fontId="1" fillId="0" borderId="6" xfId="0" applyFont="1" applyBorder="1" applyAlignment="1">
      <alignment vertical="center" wrapText="1"/>
    </xf>
    <xf numFmtId="0" fontId="1" fillId="0" borderId="3" xfId="0" applyFont="1" applyBorder="1" applyAlignment="1">
      <alignment vertical="center" wrapText="1"/>
    </xf>
    <xf numFmtId="199" fontId="4" fillId="0" borderId="0" xfId="0" applyNumberFormat="1" applyFont="1" applyAlignment="1">
      <alignment horizontal="center" vertical="center" wrapText="1"/>
    </xf>
    <xf numFmtId="317" fontId="4" fillId="0" borderId="0" xfId="0" applyNumberFormat="1" applyFont="1" applyAlignment="1">
      <alignment horizontal="left" vertical="center" wrapText="1"/>
    </xf>
    <xf numFmtId="282" fontId="4" fillId="0" borderId="0" xfId="0" applyNumberFormat="1" applyFont="1" applyAlignment="1">
      <alignment horizontal="center" vertical="center" wrapText="1"/>
    </xf>
    <xf numFmtId="1" fontId="11" fillId="0" borderId="0" xfId="0" applyNumberFormat="1" applyFont="1" applyAlignment="1">
      <alignment horizontal="center" vertical="center" wrapText="1"/>
    </xf>
    <xf numFmtId="180" fontId="1" fillId="0" borderId="0" xfId="0" applyNumberFormat="1" applyFont="1" applyAlignment="1">
      <alignment vertical="center" wrapText="1"/>
    </xf>
    <xf numFmtId="320" fontId="1" fillId="0" borderId="0" xfId="0" applyNumberFormat="1" applyFont="1" applyAlignment="1">
      <alignment horizontal="center" vertical="center" wrapText="1"/>
    </xf>
    <xf numFmtId="180" fontId="18" fillId="0" borderId="0" xfId="0" applyNumberFormat="1" applyFont="1" applyAlignment="1">
      <alignment horizontal="center" vertical="center" wrapText="1"/>
    </xf>
    <xf numFmtId="180" fontId="18" fillId="0" borderId="0" xfId="0" applyNumberFormat="1" applyFont="1" applyAlignment="1">
      <alignment horizontal="left" vertical="center" wrapText="1"/>
    </xf>
    <xf numFmtId="212" fontId="1" fillId="0" borderId="0" xfId="0" applyNumberFormat="1" applyFont="1" applyAlignment="1">
      <alignment horizontal="left" vertical="center" wrapText="1"/>
    </xf>
    <xf numFmtId="0" fontId="28" fillId="0" borderId="0" xfId="0" quotePrefix="1" applyFont="1" applyAlignment="1">
      <alignment horizontal="left" vertical="center" wrapText="1"/>
    </xf>
    <xf numFmtId="314" fontId="1" fillId="0" borderId="0" xfId="0" applyNumberFormat="1" applyFont="1" applyAlignment="1">
      <alignment horizontal="left"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4"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0" xfId="0" quotePrefix="1"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180" fontId="1" fillId="0" borderId="0" xfId="0" applyNumberFormat="1" applyFont="1" applyAlignment="1">
      <alignment horizontal="left" vertical="center" wrapText="1"/>
    </xf>
    <xf numFmtId="181" fontId="1" fillId="0" borderId="0" xfId="0" applyNumberFormat="1" applyFont="1" applyAlignment="1">
      <alignment horizontal="right" vertical="center" wrapText="1"/>
    </xf>
    <xf numFmtId="0" fontId="2" fillId="0" borderId="0" xfId="0" applyFont="1" applyAlignment="1">
      <alignment vertical="center" wrapText="1"/>
    </xf>
    <xf numFmtId="0" fontId="1" fillId="0" borderId="0" xfId="0" applyFont="1" applyBorder="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right" vertical="center" wrapText="1"/>
    </xf>
    <xf numFmtId="0" fontId="1" fillId="0" borderId="0" xfId="0" applyFont="1" applyAlignment="1">
      <alignment horizontal="left" vertical="center" wrapText="1"/>
    </xf>
    <xf numFmtId="0" fontId="11" fillId="0" borderId="0" xfId="0" applyFont="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181" fontId="4" fillId="0" borderId="0" xfId="0" applyNumberFormat="1" applyFont="1" applyAlignment="1">
      <alignment horizontal="center" vertical="center" wrapText="1"/>
    </xf>
    <xf numFmtId="180" fontId="1" fillId="0" borderId="0" xfId="0" applyNumberFormat="1" applyFont="1" applyAlignment="1">
      <alignment horizontal="center" vertical="center" wrapText="1"/>
    </xf>
    <xf numFmtId="172" fontId="1" fillId="0" borderId="0" xfId="0" applyNumberFormat="1" applyFont="1" applyAlignment="1">
      <alignment horizontal="center" vertical="center" wrapText="1"/>
    </xf>
    <xf numFmtId="181" fontId="1" fillId="0" borderId="0" xfId="0" applyNumberFormat="1" applyFont="1" applyAlignment="1">
      <alignment horizontal="right" vertical="center" wrapText="1"/>
    </xf>
    <xf numFmtId="252"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left" vertical="center" wrapText="1"/>
    </xf>
    <xf numFmtId="172" fontId="1" fillId="0" borderId="0" xfId="0" applyNumberFormat="1" applyFont="1" applyAlignment="1">
      <alignment horizontal="left" vertical="center" wrapText="1"/>
    </xf>
    <xf numFmtId="173" fontId="4" fillId="0" borderId="0" xfId="0" applyNumberFormat="1" applyFont="1" applyAlignment="1">
      <alignment horizontal="right" vertical="center" wrapText="1"/>
    </xf>
    <xf numFmtId="326" fontId="4" fillId="0" borderId="0" xfId="0" applyNumberFormat="1" applyFont="1" applyAlignment="1">
      <alignment horizontal="right" vertical="center" wrapText="1"/>
    </xf>
    <xf numFmtId="327" fontId="4" fillId="0" borderId="0" xfId="0" applyNumberFormat="1" applyFont="1" applyAlignment="1">
      <alignment horizontal="center" vertical="center" wrapText="1"/>
    </xf>
    <xf numFmtId="328" fontId="1" fillId="0" borderId="0" xfId="0" applyNumberFormat="1" applyFont="1" applyAlignment="1">
      <alignment vertical="center" wrapText="1"/>
    </xf>
    <xf numFmtId="198" fontId="1" fillId="0" borderId="0" xfId="0" applyNumberFormat="1" applyFont="1" applyAlignment="1">
      <alignment horizontal="center" vertical="center" wrapText="1"/>
    </xf>
    <xf numFmtId="227" fontId="4" fillId="0" borderId="0" xfId="0" applyNumberFormat="1" applyFont="1" applyAlignment="1">
      <alignment horizontal="center" vertical="center" wrapText="1"/>
    </xf>
    <xf numFmtId="327" fontId="4" fillId="0" borderId="0" xfId="0" applyNumberFormat="1" applyFont="1" applyAlignment="1">
      <alignment horizontal="left" vertical="center" wrapText="1"/>
    </xf>
    <xf numFmtId="0" fontId="4" fillId="0" borderId="0" xfId="0" applyFont="1" applyAlignment="1">
      <alignment vertical="center" wrapText="1"/>
    </xf>
    <xf numFmtId="331" fontId="18" fillId="0" borderId="0" xfId="0" applyNumberFormat="1" applyFont="1" applyAlignment="1">
      <alignment horizontal="right" vertical="center" wrapText="1"/>
    </xf>
    <xf numFmtId="332" fontId="1" fillId="0" borderId="0" xfId="0" applyNumberFormat="1" applyFont="1" applyAlignment="1">
      <alignment horizontal="left" vertical="center" wrapText="1"/>
    </xf>
    <xf numFmtId="2" fontId="18" fillId="0" borderId="0" xfId="0" applyNumberFormat="1" applyFont="1" applyAlignment="1">
      <alignment horizontal="center" vertical="center" wrapText="1"/>
    </xf>
    <xf numFmtId="275" fontId="18" fillId="0" borderId="0" xfId="0" applyNumberFormat="1" applyFont="1" applyAlignment="1">
      <alignment vertical="center" wrapText="1"/>
    </xf>
    <xf numFmtId="323" fontId="1" fillId="0" borderId="0" xfId="0" applyNumberFormat="1" applyFont="1" applyAlignment="1">
      <alignment horizontal="center" vertical="center" wrapText="1"/>
    </xf>
    <xf numFmtId="172"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335" fontId="4" fillId="0" borderId="0" xfId="0" applyNumberFormat="1" applyFont="1" applyAlignment="1">
      <alignment horizontal="right" vertical="center" wrapText="1"/>
    </xf>
    <xf numFmtId="335" fontId="1" fillId="0" borderId="0" xfId="0" applyNumberFormat="1" applyFont="1" applyAlignment="1">
      <alignment horizontal="right" vertical="center" wrapText="1"/>
    </xf>
    <xf numFmtId="2" fontId="4" fillId="0" borderId="0" xfId="0" applyNumberFormat="1" applyFont="1" applyAlignment="1">
      <alignment horizontal="left" vertical="center" wrapText="1"/>
    </xf>
    <xf numFmtId="323" fontId="1" fillId="0" borderId="0" xfId="0" applyNumberFormat="1" applyFont="1" applyAlignment="1">
      <alignment horizontal="left" vertical="center" wrapText="1"/>
    </xf>
    <xf numFmtId="0" fontId="4" fillId="0" borderId="0" xfId="0" applyFont="1" applyBorder="1" applyAlignment="1">
      <alignment horizontal="left" vertical="center" wrapText="1"/>
    </xf>
    <xf numFmtId="336" fontId="1" fillId="0" borderId="0" xfId="0" applyNumberFormat="1" applyFont="1" applyAlignment="1">
      <alignment horizontal="left" vertical="center" wrapText="1"/>
    </xf>
    <xf numFmtId="328" fontId="1" fillId="0" borderId="0" xfId="0" applyNumberFormat="1" applyFont="1" applyAlignment="1">
      <alignment horizontal="left" vertical="center" wrapText="1"/>
    </xf>
    <xf numFmtId="172" fontId="11" fillId="0" borderId="0" xfId="0" applyNumberFormat="1" applyFont="1" applyAlignment="1">
      <alignment horizontal="right" vertical="center" wrapText="1"/>
    </xf>
    <xf numFmtId="337" fontId="1" fillId="0" borderId="0" xfId="0" applyNumberFormat="1" applyFont="1" applyAlignment="1">
      <alignment horizontal="left" vertical="center" wrapText="1"/>
    </xf>
    <xf numFmtId="338" fontId="4" fillId="0" borderId="0" xfId="0" applyNumberFormat="1" applyFont="1" applyAlignment="1">
      <alignment horizontal="center" vertical="center" wrapText="1"/>
    </xf>
    <xf numFmtId="172" fontId="11" fillId="0" borderId="0" xfId="0" applyNumberFormat="1" applyFont="1" applyAlignment="1">
      <alignment horizontal="left" vertical="center" wrapText="1"/>
    </xf>
    <xf numFmtId="0" fontId="1" fillId="0" borderId="0" xfId="0" applyFont="1" applyAlignment="1">
      <alignment horizontal="center" vertical="center" wrapText="1"/>
    </xf>
    <xf numFmtId="276" fontId="4" fillId="0" borderId="0" xfId="0" applyNumberFormat="1" applyFont="1" applyAlignment="1">
      <alignment horizontal="left" vertical="center" wrapText="1"/>
    </xf>
    <xf numFmtId="275" fontId="4" fillId="0" borderId="0" xfId="0" applyNumberFormat="1" applyFont="1" applyAlignment="1">
      <alignment horizontal="right" vertical="center" wrapText="1"/>
    </xf>
    <xf numFmtId="0" fontId="4" fillId="0" borderId="0" xfId="0" applyFont="1" applyAlignment="1">
      <alignment horizontal="right" vertical="center" wrapText="1"/>
    </xf>
    <xf numFmtId="339" fontId="4" fillId="0" borderId="0" xfId="0" applyNumberFormat="1" applyFont="1" applyAlignment="1">
      <alignment horizontal="center" vertical="center" wrapText="1"/>
    </xf>
    <xf numFmtId="341" fontId="1" fillId="0" borderId="0" xfId="0" applyNumberFormat="1" applyFont="1" applyAlignment="1">
      <alignment horizontal="center" vertical="center" wrapText="1"/>
    </xf>
    <xf numFmtId="0" fontId="1" fillId="0" borderId="0" xfId="0" applyFont="1" applyAlignment="1">
      <alignment horizontal="right" vertical="center" wrapText="1"/>
    </xf>
    <xf numFmtId="0" fontId="1" fillId="0" borderId="0" xfId="0" quotePrefix="1" applyFont="1" applyAlignment="1">
      <alignment horizontal="left" vertical="center" wrapText="1"/>
    </xf>
    <xf numFmtId="0" fontId="11" fillId="0" borderId="0" xfId="0" applyFont="1" applyAlignment="1">
      <alignment horizontal="center" vertical="center" wrapText="1"/>
    </xf>
    <xf numFmtId="186" fontId="4" fillId="0" borderId="0" xfId="0" applyNumberFormat="1" applyFont="1" applyAlignment="1">
      <alignment horizontal="left" vertical="center" wrapText="1"/>
    </xf>
    <xf numFmtId="0" fontId="25" fillId="0" borderId="0" xfId="0" applyFont="1" applyAlignment="1">
      <alignment horizontal="center" vertical="center" wrapText="1"/>
    </xf>
    <xf numFmtId="172" fontId="1" fillId="0" borderId="0" xfId="0" applyNumberFormat="1" applyFont="1" applyAlignment="1">
      <alignment horizontal="left" vertical="center" wrapText="1"/>
    </xf>
    <xf numFmtId="0" fontId="18" fillId="0" borderId="0" xfId="0" applyFont="1" applyAlignment="1">
      <alignment horizontal="left" vertical="center" wrapText="1"/>
    </xf>
    <xf numFmtId="0" fontId="4" fillId="0" borderId="0" xfId="0" applyFont="1" applyAlignment="1">
      <alignment horizontal="right" vertical="center" wrapText="1"/>
    </xf>
    <xf numFmtId="0" fontId="19" fillId="0" borderId="0" xfId="0" applyFont="1" applyAlignment="1">
      <alignment horizontal="center" vertical="center" wrapText="1"/>
    </xf>
    <xf numFmtId="0" fontId="1" fillId="0" borderId="0" xfId="0" quotePrefix="1" applyFont="1" applyAlignment="1">
      <alignment horizontal="right" vertical="center" wrapText="1"/>
    </xf>
    <xf numFmtId="342" fontId="1" fillId="0" borderId="0" xfId="0" applyNumberFormat="1" applyFont="1" applyAlignment="1">
      <alignment horizontal="left" vertical="center" wrapText="1"/>
    </xf>
    <xf numFmtId="228" fontId="1" fillId="0" borderId="0" xfId="0" applyNumberFormat="1" applyFont="1" applyAlignment="1">
      <alignment horizontal="left" vertical="center" wrapText="1"/>
    </xf>
    <xf numFmtId="343" fontId="1" fillId="0" borderId="0" xfId="0" applyNumberFormat="1" applyFont="1" applyAlignment="1">
      <alignment horizontal="center" vertical="center" wrapText="1"/>
    </xf>
    <xf numFmtId="345" fontId="1" fillId="0" borderId="0" xfId="0" applyNumberFormat="1" applyFont="1" applyAlignment="1">
      <alignment horizontal="right" vertical="center" wrapText="1"/>
    </xf>
    <xf numFmtId="346" fontId="4" fillId="0" borderId="0" xfId="0" applyNumberFormat="1" applyFont="1" applyAlignment="1">
      <alignment horizontal="left" vertical="center" wrapText="1"/>
    </xf>
    <xf numFmtId="172" fontId="11" fillId="0" borderId="0" xfId="0" applyNumberFormat="1" applyFont="1" applyAlignment="1">
      <alignment horizontal="center" vertical="center" wrapText="1"/>
    </xf>
    <xf numFmtId="1" fontId="15" fillId="0" borderId="0" xfId="0" applyNumberFormat="1" applyFont="1" applyAlignment="1">
      <alignment horizontal="left"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349" fontId="1" fillId="0" borderId="0" xfId="0" applyNumberFormat="1" applyFont="1" applyAlignment="1">
      <alignment horizontal="right" vertical="center" wrapText="1"/>
    </xf>
    <xf numFmtId="208" fontId="1" fillId="0" borderId="0" xfId="0" applyNumberFormat="1" applyFont="1" applyAlignment="1">
      <alignment horizontal="left" vertical="center" wrapText="1"/>
    </xf>
    <xf numFmtId="352" fontId="1" fillId="0" borderId="0" xfId="0" applyNumberFormat="1" applyFont="1" applyAlignment="1">
      <alignment horizontal="center" vertical="center" wrapText="1"/>
    </xf>
    <xf numFmtId="180" fontId="4" fillId="0" borderId="0" xfId="0" applyNumberFormat="1" applyFont="1" applyAlignment="1">
      <alignment horizontal="right" vertical="center" wrapText="1"/>
    </xf>
    <xf numFmtId="182" fontId="18" fillId="0" borderId="0" xfId="0" applyNumberFormat="1" applyFont="1" applyAlignment="1">
      <alignment horizontal="right" vertical="center" wrapText="1"/>
    </xf>
    <xf numFmtId="353" fontId="4" fillId="0" borderId="0" xfId="0" applyNumberFormat="1" applyFont="1" applyAlignment="1">
      <alignment horizontal="center" vertical="center" wrapText="1"/>
    </xf>
    <xf numFmtId="196" fontId="11" fillId="0" borderId="0" xfId="0" applyNumberFormat="1" applyFont="1" applyAlignment="1">
      <alignment horizontal="center" vertical="center" wrapText="1"/>
    </xf>
    <xf numFmtId="354" fontId="4" fillId="0" borderId="0" xfId="0" applyNumberFormat="1" applyFont="1" applyAlignment="1">
      <alignment horizontal="right" vertical="center" wrapText="1"/>
    </xf>
    <xf numFmtId="355" fontId="4" fillId="0" borderId="0" xfId="0" applyNumberFormat="1" applyFont="1" applyAlignment="1">
      <alignment horizontal="right" vertical="center" wrapText="1"/>
    </xf>
    <xf numFmtId="356" fontId="1" fillId="0" borderId="0" xfId="0" applyNumberFormat="1" applyFont="1" applyAlignment="1">
      <alignment horizontal="right" vertical="center" wrapText="1"/>
    </xf>
    <xf numFmtId="355" fontId="1" fillId="0" borderId="0" xfId="0" applyNumberFormat="1" applyFont="1" applyAlignment="1">
      <alignment horizontal="center" vertical="center" wrapText="1"/>
    </xf>
    <xf numFmtId="0" fontId="2" fillId="0" borderId="0" xfId="0" quotePrefix="1" applyFont="1" applyAlignment="1">
      <alignment horizontal="center" vertical="center" wrapText="1"/>
    </xf>
    <xf numFmtId="330" fontId="4"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wrapText="1"/>
    </xf>
    <xf numFmtId="242" fontId="4" fillId="0" borderId="0" xfId="0" applyNumberFormat="1" applyFont="1" applyAlignment="1">
      <alignment horizontal="center" vertical="center" wrapText="1"/>
    </xf>
    <xf numFmtId="358" fontId="4" fillId="0" borderId="0" xfId="0" applyNumberFormat="1" applyFont="1" applyAlignment="1">
      <alignment horizontal="left" vertical="center" wrapText="1"/>
    </xf>
    <xf numFmtId="291" fontId="1" fillId="0" borderId="0" xfId="0" applyNumberFormat="1" applyFont="1" applyAlignment="1">
      <alignment horizontal="center" vertical="center" wrapText="1"/>
    </xf>
    <xf numFmtId="359" fontId="4" fillId="0" borderId="0" xfId="0" applyNumberFormat="1" applyFont="1" applyAlignment="1">
      <alignment horizontal="center" vertical="center" wrapText="1"/>
    </xf>
    <xf numFmtId="354" fontId="1" fillId="0" borderId="0" xfId="0" applyNumberFormat="1" applyFont="1" applyAlignment="1">
      <alignment horizontal="center" vertical="center" wrapText="1"/>
    </xf>
    <xf numFmtId="354" fontId="1" fillId="0" borderId="0" xfId="0" applyNumberFormat="1" applyFont="1" applyAlignment="1">
      <alignment horizontal="right" vertical="center" wrapText="1"/>
    </xf>
    <xf numFmtId="172" fontId="18" fillId="0" borderId="0" xfId="0" applyNumberFormat="1" applyFont="1" applyAlignment="1">
      <alignment horizontal="center" vertical="center" wrapText="1"/>
    </xf>
    <xf numFmtId="180" fontId="1" fillId="0" borderId="6" xfId="0" applyNumberFormat="1" applyFont="1" applyBorder="1" applyAlignment="1">
      <alignment vertical="center" wrapText="1"/>
    </xf>
    <xf numFmtId="263" fontId="1" fillId="0" borderId="2" xfId="0" applyNumberFormat="1" applyFont="1" applyBorder="1" applyAlignment="1">
      <alignment vertical="center" wrapText="1"/>
    </xf>
    <xf numFmtId="180" fontId="1" fillId="0" borderId="6" xfId="0" applyNumberFormat="1" applyFont="1" applyBorder="1" applyAlignment="1">
      <alignment horizontal="center" vertical="center" wrapText="1"/>
    </xf>
    <xf numFmtId="180" fontId="1" fillId="0" borderId="3" xfId="0" applyNumberFormat="1" applyFont="1" applyBorder="1" applyAlignment="1">
      <alignment vertical="center" wrapText="1"/>
    </xf>
    <xf numFmtId="180" fontId="1" fillId="0" borderId="6" xfId="0" applyNumberFormat="1" applyFont="1" applyBorder="1" applyAlignment="1">
      <alignment horizontal="left" vertical="center" wrapText="1"/>
    </xf>
    <xf numFmtId="0" fontId="1" fillId="0" borderId="2" xfId="0" applyFont="1" applyBorder="1" applyAlignment="1">
      <alignment horizontal="left" vertical="center" wrapText="1"/>
    </xf>
    <xf numFmtId="0" fontId="2" fillId="0" borderId="3" xfId="0" applyFont="1" applyBorder="1" applyAlignment="1">
      <alignment horizontal="left" vertical="center" wrapText="1"/>
    </xf>
    <xf numFmtId="229" fontId="4" fillId="0" borderId="0" xfId="0" applyNumberFormat="1" applyFont="1" applyAlignment="1">
      <alignment vertical="center" wrapText="1"/>
    </xf>
    <xf numFmtId="248" fontId="4" fillId="0" borderId="0" xfId="0" applyNumberFormat="1" applyFont="1" applyAlignment="1">
      <alignment vertical="center" wrapText="1"/>
    </xf>
    <xf numFmtId="177" fontId="4" fillId="0" borderId="0" xfId="0" applyNumberFormat="1" applyFont="1" applyAlignment="1">
      <alignment horizontal="right" vertical="center" wrapText="1"/>
    </xf>
    <xf numFmtId="171" fontId="4" fillId="0" borderId="0" xfId="0" applyNumberFormat="1" applyFont="1" applyAlignment="1">
      <alignment horizontal="right" vertical="center" wrapText="1"/>
    </xf>
    <xf numFmtId="360" fontId="4" fillId="0" borderId="0" xfId="0" applyNumberFormat="1" applyFont="1" applyAlignment="1">
      <alignment horizontal="center" vertical="center" wrapText="1"/>
    </xf>
    <xf numFmtId="253" fontId="4" fillId="0" borderId="0" xfId="0" applyNumberFormat="1" applyFont="1" applyAlignment="1">
      <alignment horizontal="center" vertical="center" wrapText="1"/>
    </xf>
    <xf numFmtId="362" fontId="1" fillId="0" borderId="0" xfId="0" applyNumberFormat="1" applyFont="1" applyAlignment="1">
      <alignment horizontal="right" vertical="center" wrapText="1"/>
    </xf>
    <xf numFmtId="236" fontId="1" fillId="0" borderId="0" xfId="0" applyNumberFormat="1" applyFont="1" applyAlignment="1">
      <alignment horizontal="left" vertical="center" wrapText="1"/>
    </xf>
    <xf numFmtId="364" fontId="11" fillId="0" borderId="0" xfId="0" applyNumberFormat="1" applyFont="1" applyAlignment="1">
      <alignment horizontal="left" vertical="center" wrapText="1"/>
    </xf>
    <xf numFmtId="363" fontId="4" fillId="0" borderId="0" xfId="0" applyNumberFormat="1" applyFont="1" applyAlignment="1">
      <alignment horizontal="center" vertical="center" wrapText="1"/>
    </xf>
    <xf numFmtId="363" fontId="18" fillId="0" borderId="2" xfId="0" applyNumberFormat="1" applyFont="1" applyBorder="1" applyAlignment="1">
      <alignment horizontal="center" vertical="center" wrapText="1"/>
    </xf>
    <xf numFmtId="0" fontId="4" fillId="5" borderId="2" xfId="0" applyFont="1" applyFill="1" applyBorder="1" applyAlignment="1">
      <alignment horizontal="center" vertical="center" wrapText="1"/>
    </xf>
    <xf numFmtId="0" fontId="1" fillId="0" borderId="0" xfId="0" applyFont="1" applyAlignment="1">
      <alignment vertical="center" wrapText="1"/>
    </xf>
    <xf numFmtId="0" fontId="25" fillId="0" borderId="0" xfId="0" applyFont="1" applyAlignment="1">
      <alignment vertical="center" wrapText="1"/>
    </xf>
    <xf numFmtId="274" fontId="4" fillId="0" borderId="0" xfId="0" applyNumberFormat="1" applyFont="1" applyAlignment="1">
      <alignment horizontal="center" wrapText="1"/>
    </xf>
    <xf numFmtId="286" fontId="18" fillId="0" borderId="0" xfId="0" applyNumberFormat="1" applyFont="1" applyAlignment="1">
      <alignment horizontal="right" vertical="center" wrapText="1"/>
    </xf>
    <xf numFmtId="285" fontId="4" fillId="0" borderId="0" xfId="0" applyNumberFormat="1" applyFont="1" applyAlignment="1">
      <alignment horizontal="right" vertical="center" wrapText="1"/>
    </xf>
    <xf numFmtId="221" fontId="4" fillId="0" borderId="0" xfId="0" applyNumberFormat="1" applyFont="1" applyAlignment="1">
      <alignment horizontal="right" vertical="center" wrapText="1"/>
    </xf>
    <xf numFmtId="268" fontId="4" fillId="0" borderId="0" xfId="0" applyNumberFormat="1" applyFont="1" applyAlignment="1">
      <alignment horizontal="right" vertical="center" wrapText="1"/>
    </xf>
    <xf numFmtId="288" fontId="1" fillId="0" borderId="0" xfId="0" applyNumberFormat="1" applyFont="1" applyAlignment="1">
      <alignment horizontal="right" vertical="center" wrapText="1"/>
    </xf>
    <xf numFmtId="282" fontId="1" fillId="0" borderId="0" xfId="0" applyNumberFormat="1" applyFont="1" applyAlignment="1">
      <alignment horizontal="right" vertical="center" wrapText="1"/>
    </xf>
    <xf numFmtId="172" fontId="1" fillId="0" borderId="0" xfId="0" applyNumberFormat="1" applyFont="1" applyAlignment="1">
      <alignment horizontal="right" wrapText="1"/>
    </xf>
    <xf numFmtId="367" fontId="4" fillId="0" borderId="0" xfId="0" applyNumberFormat="1" applyFont="1" applyAlignment="1">
      <alignment horizontal="right" vertical="center" wrapText="1"/>
    </xf>
    <xf numFmtId="196" fontId="1" fillId="0" borderId="0" xfId="0" applyNumberFormat="1" applyFont="1" applyAlignment="1">
      <alignment horizontal="right" vertical="center" wrapText="1"/>
    </xf>
    <xf numFmtId="354" fontId="4" fillId="0" borderId="0" xfId="0" applyNumberFormat="1" applyFont="1" applyAlignment="1">
      <alignment vertical="center" wrapText="1"/>
    </xf>
    <xf numFmtId="354" fontId="18" fillId="0" borderId="0" xfId="0" applyNumberFormat="1" applyFont="1" applyAlignment="1">
      <alignment vertical="center" wrapText="1"/>
    </xf>
    <xf numFmtId="0" fontId="1" fillId="3" borderId="0" xfId="0" applyFont="1" applyFill="1" applyAlignment="1">
      <alignment horizontal="center" vertical="center" wrapText="1"/>
    </xf>
    <xf numFmtId="0" fontId="1" fillId="0" borderId="0" xfId="0" applyFont="1" applyFill="1" applyAlignment="1">
      <alignment horizontal="center" vertical="center" wrapText="1"/>
    </xf>
    <xf numFmtId="0" fontId="30"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0" fillId="0" borderId="0" xfId="0" applyFont="1" applyAlignment="1">
      <alignment horizontal="center" vertical="center" wrapText="1"/>
    </xf>
    <xf numFmtId="0" fontId="3" fillId="6" borderId="0" xfId="0" applyFont="1" applyFill="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right" vertical="center" wrapText="1"/>
    </xf>
    <xf numFmtId="0" fontId="1" fillId="0" borderId="0" xfId="0" applyFont="1" applyAlignment="1">
      <alignment horizontal="left" vertical="center" wrapText="1"/>
    </xf>
    <xf numFmtId="164" fontId="1"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0" fontId="3" fillId="0" borderId="0" xfId="0" applyFont="1" applyAlignment="1">
      <alignment horizontal="center" vertical="center" wrapText="1"/>
    </xf>
    <xf numFmtId="169" fontId="1" fillId="0" borderId="0" xfId="0" applyNumberFormat="1" applyFont="1" applyAlignment="1">
      <alignment horizontal="left" vertical="center" wrapText="1"/>
    </xf>
    <xf numFmtId="164" fontId="1" fillId="0" borderId="0" xfId="0" applyNumberFormat="1" applyFont="1" applyAlignment="1">
      <alignment horizontal="left" vertical="center" wrapText="1"/>
    </xf>
    <xf numFmtId="170" fontId="4" fillId="0" borderId="0" xfId="0" applyNumberFormat="1" applyFont="1" applyAlignment="1">
      <alignment horizontal="center" vertical="center" wrapText="1"/>
    </xf>
    <xf numFmtId="0" fontId="3" fillId="0" borderId="0" xfId="0" applyFont="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6" borderId="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1" fillId="0" borderId="0" xfId="0" applyFont="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175" fontId="4" fillId="0" borderId="6" xfId="0" applyNumberFormat="1" applyFont="1" applyBorder="1" applyAlignment="1">
      <alignment horizontal="left" vertical="center" wrapText="1"/>
    </xf>
    <xf numFmtId="175" fontId="4" fillId="0" borderId="3" xfId="0" applyNumberFormat="1" applyFont="1" applyBorder="1" applyAlignment="1">
      <alignment horizontal="left" vertical="center" wrapText="1"/>
    </xf>
    <xf numFmtId="171" fontId="4" fillId="0" borderId="2" xfId="0" applyNumberFormat="1" applyFont="1" applyBorder="1" applyAlignment="1">
      <alignment horizontal="right" vertical="center" wrapText="1"/>
    </xf>
    <xf numFmtId="171" fontId="4" fillId="0" borderId="6" xfId="0" applyNumberFormat="1" applyFont="1" applyBorder="1" applyAlignment="1">
      <alignment horizontal="right" vertical="center" wrapText="1"/>
    </xf>
    <xf numFmtId="179" fontId="1" fillId="0" borderId="0" xfId="0" applyNumberFormat="1" applyFont="1" applyAlignment="1">
      <alignment horizontal="right" vertical="center" wrapText="1"/>
    </xf>
    <xf numFmtId="0" fontId="1" fillId="0" borderId="0" xfId="0" quotePrefix="1" applyFont="1" applyAlignment="1">
      <alignment horizontal="left" vertical="center" wrapText="1"/>
    </xf>
    <xf numFmtId="173" fontId="4" fillId="0" borderId="0" xfId="0" applyNumberFormat="1" applyFont="1" applyBorder="1" applyAlignment="1">
      <alignment horizontal="center" vertical="center" wrapText="1"/>
    </xf>
    <xf numFmtId="175" fontId="1" fillId="0" borderId="0" xfId="0" applyNumberFormat="1" applyFont="1" applyAlignment="1">
      <alignment horizontal="center" vertical="center" wrapText="1"/>
    </xf>
    <xf numFmtId="176" fontId="4" fillId="0" borderId="6" xfId="0" applyNumberFormat="1" applyFont="1" applyBorder="1" applyAlignment="1">
      <alignment horizontal="left" vertical="center" wrapText="1"/>
    </xf>
    <xf numFmtId="176" fontId="4" fillId="0" borderId="3" xfId="0" applyNumberFormat="1" applyFont="1" applyBorder="1" applyAlignment="1">
      <alignment horizontal="left" vertical="center" wrapText="1"/>
    </xf>
    <xf numFmtId="173" fontId="4" fillId="0" borderId="6" xfId="0" applyNumberFormat="1" applyFont="1" applyBorder="1" applyAlignment="1">
      <alignment horizontal="center" vertical="center" wrapText="1"/>
    </xf>
    <xf numFmtId="0" fontId="11" fillId="0" borderId="0" xfId="0" applyFont="1" applyAlignment="1">
      <alignment horizontal="left" vertical="center" wrapText="1"/>
    </xf>
    <xf numFmtId="173" fontId="1" fillId="0" borderId="0" xfId="0" applyNumberFormat="1" applyFont="1" applyBorder="1" applyAlignment="1">
      <alignment horizontal="left" vertical="center" wrapText="1"/>
    </xf>
    <xf numFmtId="0" fontId="11" fillId="0" borderId="0" xfId="0" applyFont="1" applyAlignment="1">
      <alignment horizontal="right" vertical="center" wrapText="1"/>
    </xf>
    <xf numFmtId="195" fontId="1" fillId="0" borderId="0" xfId="0" applyNumberFormat="1" applyFont="1" applyAlignment="1">
      <alignment horizontal="left" vertical="center" wrapText="1"/>
    </xf>
    <xf numFmtId="0" fontId="2" fillId="0" borderId="0" xfId="0" applyFont="1" applyAlignment="1">
      <alignment horizontal="left" vertical="center" wrapText="1"/>
    </xf>
    <xf numFmtId="189" fontId="1" fillId="0" borderId="0" xfId="0" applyNumberFormat="1" applyFont="1" applyAlignment="1">
      <alignment horizontal="left" vertical="center" wrapText="1"/>
    </xf>
    <xf numFmtId="197" fontId="1" fillId="0" borderId="0" xfId="0" applyNumberFormat="1" applyFont="1" applyAlignment="1">
      <alignment horizontal="center" vertical="center" wrapText="1"/>
    </xf>
    <xf numFmtId="187" fontId="4" fillId="0" borderId="0" xfId="0" applyNumberFormat="1" applyFont="1" applyAlignment="1">
      <alignment horizontal="left" vertical="center" wrapText="1"/>
    </xf>
    <xf numFmtId="197" fontId="1" fillId="0" borderId="0" xfId="0" applyNumberFormat="1" applyFont="1" applyAlignment="1">
      <alignment horizontal="right" vertical="center" wrapText="1"/>
    </xf>
    <xf numFmtId="198" fontId="1" fillId="0" borderId="0" xfId="0" applyNumberFormat="1" applyFont="1" applyAlignment="1">
      <alignment horizontal="right" vertical="center" wrapText="1"/>
    </xf>
    <xf numFmtId="0" fontId="5" fillId="0" borderId="0" xfId="0" applyFont="1" applyAlignment="1">
      <alignment horizontal="right" vertical="center" wrapText="1"/>
    </xf>
    <xf numFmtId="180" fontId="18" fillId="0" borderId="0" xfId="0" applyNumberFormat="1" applyFont="1" applyBorder="1" applyAlignment="1">
      <alignment horizontal="center" vertical="center" wrapText="1"/>
    </xf>
    <xf numFmtId="180" fontId="18" fillId="0" borderId="0" xfId="0" applyNumberFormat="1" applyFont="1" applyBorder="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center" vertical="center" wrapText="1"/>
    </xf>
    <xf numFmtId="0" fontId="2" fillId="0" borderId="0" xfId="0" applyFont="1" applyAlignment="1">
      <alignment horizontal="center" vertical="center" wrapText="1"/>
    </xf>
    <xf numFmtId="186" fontId="4" fillId="0" borderId="0" xfId="0" applyNumberFormat="1" applyFont="1" applyAlignment="1">
      <alignment horizontal="left" vertical="center" wrapText="1"/>
    </xf>
    <xf numFmtId="194" fontId="4" fillId="0" borderId="0" xfId="0" applyNumberFormat="1" applyFont="1" applyAlignment="1">
      <alignment horizontal="left" vertical="center" wrapText="1"/>
    </xf>
    <xf numFmtId="193" fontId="1" fillId="0" borderId="1" xfId="0" applyNumberFormat="1" applyFont="1" applyBorder="1" applyAlignment="1">
      <alignment horizontal="center" vertical="center" wrapText="1"/>
    </xf>
    <xf numFmtId="173" fontId="4" fillId="0" borderId="1" xfId="0" applyNumberFormat="1" applyFont="1" applyBorder="1" applyAlignment="1">
      <alignment horizontal="center" vertical="center" wrapText="1"/>
    </xf>
    <xf numFmtId="181" fontId="1" fillId="0" borderId="1" xfId="0" applyNumberFormat="1" applyFont="1" applyBorder="1" applyAlignment="1">
      <alignment horizontal="center" vertical="center" wrapText="1"/>
    </xf>
    <xf numFmtId="188" fontId="1" fillId="0" borderId="0" xfId="0" applyNumberFormat="1" applyFont="1" applyAlignment="1">
      <alignment horizontal="center" vertical="center" wrapText="1"/>
    </xf>
    <xf numFmtId="182" fontId="1" fillId="0" borderId="0" xfId="0" applyNumberFormat="1" applyFont="1" applyBorder="1" applyAlignment="1">
      <alignment horizontal="center" vertical="center" wrapText="1"/>
    </xf>
    <xf numFmtId="192" fontId="4" fillId="0" borderId="0" xfId="0" applyNumberFormat="1" applyFont="1" applyBorder="1" applyAlignment="1">
      <alignment horizontal="left" vertical="center" wrapText="1"/>
    </xf>
    <xf numFmtId="188" fontId="4" fillId="0" borderId="0" xfId="0" applyNumberFormat="1" applyFont="1" applyAlignment="1">
      <alignment horizontal="center" vertical="center" wrapText="1"/>
    </xf>
    <xf numFmtId="180" fontId="1" fillId="0" borderId="1" xfId="0" applyNumberFormat="1" applyFont="1" applyBorder="1" applyAlignment="1">
      <alignment horizontal="center" vertical="center" wrapText="1"/>
    </xf>
    <xf numFmtId="190" fontId="1" fillId="0" borderId="0" xfId="0" applyNumberFormat="1" applyFont="1" applyBorder="1" applyAlignment="1">
      <alignment horizontal="left" vertical="center" wrapText="1"/>
    </xf>
    <xf numFmtId="202" fontId="1" fillId="0" borderId="0" xfId="0" applyNumberFormat="1" applyFont="1" applyAlignment="1">
      <alignment horizontal="center" vertical="center" wrapText="1"/>
    </xf>
    <xf numFmtId="180" fontId="1" fillId="0" borderId="0" xfId="0" applyNumberFormat="1" applyFont="1" applyBorder="1" applyAlignment="1">
      <alignment horizontal="center" vertical="center" wrapText="1"/>
    </xf>
    <xf numFmtId="219" fontId="1" fillId="0" borderId="0" xfId="0" applyNumberFormat="1" applyFont="1" applyAlignment="1">
      <alignment horizontal="center" vertical="center" wrapText="1"/>
    </xf>
    <xf numFmtId="200" fontId="1" fillId="0" borderId="0" xfId="0" applyNumberFormat="1" applyFont="1" applyAlignment="1">
      <alignment horizontal="left" vertical="center" wrapText="1"/>
    </xf>
    <xf numFmtId="181" fontId="4" fillId="0" borderId="0" xfId="0" applyNumberFormat="1" applyFont="1" applyAlignment="1">
      <alignment horizontal="center" vertical="center" wrapText="1"/>
    </xf>
    <xf numFmtId="0" fontId="4" fillId="0" borderId="0" xfId="0" applyFont="1" applyAlignment="1">
      <alignment horizontal="left" vertical="center" wrapText="1"/>
    </xf>
    <xf numFmtId="207" fontId="1" fillId="0" borderId="0" xfId="0" applyNumberFormat="1" applyFont="1" applyAlignment="1">
      <alignment horizontal="right" vertical="center" wrapText="1"/>
    </xf>
    <xf numFmtId="189" fontId="18" fillId="0" borderId="0" xfId="0" applyNumberFormat="1" applyFont="1" applyAlignment="1">
      <alignment horizontal="right" vertical="center" wrapText="1"/>
    </xf>
    <xf numFmtId="201" fontId="1" fillId="0" borderId="0" xfId="0" applyNumberFormat="1" applyFont="1" applyAlignment="1">
      <alignment horizontal="center" vertical="center" wrapText="1"/>
    </xf>
    <xf numFmtId="199" fontId="4" fillId="0" borderId="0" xfId="0" applyNumberFormat="1" applyFont="1" applyAlignment="1">
      <alignment horizontal="left" vertical="center" wrapText="1"/>
    </xf>
    <xf numFmtId="0" fontId="1" fillId="0" borderId="11" xfId="0" applyFont="1" applyBorder="1" applyAlignment="1">
      <alignment horizontal="left" vertical="center" wrapText="1"/>
    </xf>
    <xf numFmtId="0" fontId="1" fillId="0" borderId="6" xfId="0" applyFont="1" applyBorder="1" applyAlignment="1">
      <alignment horizontal="center" vertical="center" wrapText="1"/>
    </xf>
    <xf numFmtId="181" fontId="1" fillId="0" borderId="1" xfId="0" quotePrefix="1" applyNumberFormat="1" applyFont="1" applyBorder="1" applyAlignment="1">
      <alignment horizontal="center" vertical="center" wrapText="1"/>
    </xf>
    <xf numFmtId="181" fontId="1" fillId="0" borderId="0" xfId="0" quotePrefix="1" applyNumberFormat="1" applyFont="1" applyAlignment="1">
      <alignment horizontal="center" vertical="center" wrapText="1"/>
    </xf>
    <xf numFmtId="180" fontId="1" fillId="0" borderId="0" xfId="0" applyNumberFormat="1" applyFont="1" applyAlignment="1">
      <alignment horizontal="center" vertical="center" wrapText="1"/>
    </xf>
    <xf numFmtId="207" fontId="1" fillId="0" borderId="0" xfId="0" applyNumberFormat="1" applyFont="1" applyAlignment="1">
      <alignment horizontal="left" vertical="center" wrapText="1"/>
    </xf>
    <xf numFmtId="206" fontId="4" fillId="0" borderId="0" xfId="0" applyNumberFormat="1" applyFont="1" applyAlignment="1">
      <alignment horizontal="left" vertical="center" wrapText="1"/>
    </xf>
    <xf numFmtId="205" fontId="1" fillId="0" borderId="0" xfId="0" applyNumberFormat="1" applyFont="1" applyAlignment="1">
      <alignment horizontal="left" vertical="center" wrapText="1"/>
    </xf>
    <xf numFmtId="189" fontId="1" fillId="0" borderId="0" xfId="0" applyNumberFormat="1" applyFont="1" applyAlignment="1">
      <alignment horizontal="center" vertical="center" wrapText="1"/>
    </xf>
    <xf numFmtId="223" fontId="1" fillId="0" borderId="1" xfId="0" applyNumberFormat="1" applyFont="1" applyBorder="1" applyAlignment="1">
      <alignment horizontal="center" vertical="center" wrapText="1"/>
    </xf>
    <xf numFmtId="2" fontId="1" fillId="0" borderId="0" xfId="0" applyNumberFormat="1" applyFont="1" applyAlignment="1">
      <alignment horizontal="center" vertical="center" wrapText="1"/>
    </xf>
    <xf numFmtId="222" fontId="1" fillId="0" borderId="0" xfId="0" applyNumberFormat="1" applyFont="1" applyAlignment="1">
      <alignment horizontal="left" vertical="center" wrapText="1"/>
    </xf>
    <xf numFmtId="220" fontId="1" fillId="0" borderId="0" xfId="0" applyNumberFormat="1" applyFont="1" applyAlignment="1">
      <alignment horizontal="left" vertical="center" wrapText="1"/>
    </xf>
    <xf numFmtId="223" fontId="4" fillId="0" borderId="0" xfId="0" applyNumberFormat="1" applyFont="1" applyAlignment="1">
      <alignment horizontal="left" vertical="center" wrapText="1"/>
    </xf>
    <xf numFmtId="183" fontId="11" fillId="0" borderId="0" xfId="0" applyNumberFormat="1" applyFont="1" applyAlignment="1">
      <alignment horizontal="center" vertical="center" wrapText="1"/>
    </xf>
    <xf numFmtId="181" fontId="1" fillId="0" borderId="0" xfId="0" applyNumberFormat="1" applyFont="1" applyAlignment="1">
      <alignment horizontal="left" vertical="center" wrapText="1"/>
    </xf>
    <xf numFmtId="189" fontId="4" fillId="0" borderId="0" xfId="0" applyNumberFormat="1" applyFont="1" applyAlignment="1">
      <alignment horizontal="left" vertical="center" wrapText="1"/>
    </xf>
    <xf numFmtId="214" fontId="1" fillId="0" borderId="0" xfId="0" applyNumberFormat="1" applyFont="1" applyAlignment="1">
      <alignment horizontal="left" vertical="center" wrapText="1"/>
    </xf>
    <xf numFmtId="216" fontId="1" fillId="0" borderId="0" xfId="0" applyNumberFormat="1" applyFont="1" applyAlignment="1">
      <alignment horizontal="left" vertical="center" wrapText="1"/>
    </xf>
    <xf numFmtId="218" fontId="1" fillId="0" borderId="0" xfId="0" applyNumberFormat="1" applyFont="1" applyAlignment="1">
      <alignment horizontal="left" vertical="center" wrapText="1"/>
    </xf>
    <xf numFmtId="186" fontId="1" fillId="0" borderId="0" xfId="0" applyNumberFormat="1" applyFont="1" applyAlignment="1">
      <alignment horizontal="left" vertical="center" wrapText="1"/>
    </xf>
    <xf numFmtId="211" fontId="4" fillId="0" borderId="0" xfId="0" applyNumberFormat="1" applyFont="1" applyAlignment="1">
      <alignment horizontal="right" vertical="center" wrapText="1"/>
    </xf>
    <xf numFmtId="212" fontId="4" fillId="0" borderId="0" xfId="0" applyNumberFormat="1" applyFont="1" applyAlignment="1">
      <alignment horizontal="center" vertical="center" wrapText="1"/>
    </xf>
    <xf numFmtId="213" fontId="1" fillId="0" borderId="0" xfId="0" applyNumberFormat="1" applyFont="1" applyAlignment="1">
      <alignment horizontal="left" vertical="center" wrapText="1"/>
    </xf>
    <xf numFmtId="0" fontId="1"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180" fontId="1" fillId="0" borderId="0" xfId="0" applyNumberFormat="1" applyFont="1" applyAlignment="1">
      <alignment horizontal="left" vertical="center" wrapText="1"/>
    </xf>
    <xf numFmtId="228" fontId="18" fillId="0" borderId="0" xfId="0" applyNumberFormat="1" applyFont="1" applyBorder="1" applyAlignment="1">
      <alignment horizontal="left" vertical="center" wrapText="1"/>
    </xf>
    <xf numFmtId="0" fontId="1" fillId="0" borderId="0" xfId="0" applyNumberFormat="1" applyFont="1" applyAlignment="1">
      <alignment horizontal="left" vertical="center" wrapText="1"/>
    </xf>
    <xf numFmtId="225" fontId="1" fillId="0" borderId="0" xfId="0" applyNumberFormat="1" applyFont="1" applyAlignment="1">
      <alignment horizontal="left" vertical="center" wrapText="1"/>
    </xf>
    <xf numFmtId="0" fontId="3" fillId="0" borderId="0" xfId="0" applyNumberFormat="1" applyFont="1" applyAlignment="1">
      <alignment horizontal="left" vertical="center" wrapText="1"/>
    </xf>
    <xf numFmtId="229" fontId="4" fillId="0" borderId="0" xfId="0" applyNumberFormat="1" applyFont="1" applyAlignment="1">
      <alignment horizontal="center" vertical="center" wrapText="1"/>
    </xf>
    <xf numFmtId="0" fontId="10" fillId="0" borderId="0" xfId="0" applyFont="1" applyAlignment="1">
      <alignment horizontal="left" vertical="center" wrapText="1"/>
    </xf>
    <xf numFmtId="238" fontId="1" fillId="0" borderId="0" xfId="0" applyNumberFormat="1" applyFont="1" applyAlignment="1">
      <alignment horizontal="left" vertical="center" wrapText="1"/>
    </xf>
    <xf numFmtId="234" fontId="1" fillId="0" borderId="0" xfId="0" applyNumberFormat="1" applyFont="1" applyAlignment="1">
      <alignment horizontal="center" vertical="center" wrapText="1"/>
    </xf>
    <xf numFmtId="260" fontId="1" fillId="0" borderId="0" xfId="0" applyNumberFormat="1" applyFont="1" applyAlignment="1">
      <alignment horizontal="left" vertical="center" wrapText="1"/>
    </xf>
    <xf numFmtId="2" fontId="11" fillId="0" borderId="0" xfId="0" applyNumberFormat="1" applyFont="1" applyAlignment="1">
      <alignment horizontal="center" vertical="center" wrapText="1"/>
    </xf>
    <xf numFmtId="172" fontId="1" fillId="0" borderId="0" xfId="0" applyNumberFormat="1" applyFont="1" applyAlignment="1">
      <alignment horizontal="center" vertical="center" wrapText="1"/>
    </xf>
    <xf numFmtId="237" fontId="1" fillId="0" borderId="0" xfId="0" applyNumberFormat="1" applyFont="1" applyAlignment="1">
      <alignment horizontal="center" vertical="center" wrapText="1"/>
    </xf>
    <xf numFmtId="256" fontId="4" fillId="0" borderId="0" xfId="0" applyNumberFormat="1" applyFont="1" applyAlignment="1">
      <alignment horizontal="center" vertical="center" wrapText="1"/>
    </xf>
    <xf numFmtId="239" fontId="1" fillId="0" borderId="0" xfId="0" applyNumberFormat="1" applyFont="1" applyAlignment="1">
      <alignment horizontal="center" vertical="center" wrapText="1"/>
    </xf>
    <xf numFmtId="0" fontId="4" fillId="0" borderId="0" xfId="0" applyFont="1" applyAlignment="1">
      <alignment horizontal="right" vertical="center" wrapText="1"/>
    </xf>
    <xf numFmtId="245" fontId="1" fillId="0" borderId="0" xfId="0" applyNumberFormat="1" applyFont="1" applyAlignment="1">
      <alignment horizontal="left" vertical="center" wrapText="1"/>
    </xf>
    <xf numFmtId="246" fontId="1" fillId="0" borderId="0" xfId="0" applyNumberFormat="1" applyFont="1" applyAlignment="1">
      <alignment horizontal="right" vertical="center" wrapText="1"/>
    </xf>
    <xf numFmtId="247" fontId="1" fillId="0" borderId="0" xfId="0" applyNumberFormat="1" applyFont="1" applyAlignment="1">
      <alignment horizontal="center" vertical="center" wrapText="1"/>
    </xf>
    <xf numFmtId="246" fontId="4" fillId="0" borderId="0" xfId="0" applyNumberFormat="1" applyFont="1" applyAlignment="1">
      <alignment horizontal="right" vertical="center" wrapText="1"/>
    </xf>
    <xf numFmtId="246" fontId="1" fillId="0" borderId="0" xfId="0" applyNumberFormat="1" applyFont="1" applyAlignment="1">
      <alignment horizontal="center" vertical="center" wrapText="1"/>
    </xf>
    <xf numFmtId="247" fontId="4" fillId="0" borderId="0" xfId="0" applyNumberFormat="1" applyFont="1" applyAlignment="1">
      <alignment horizontal="right" vertical="center" wrapText="1"/>
    </xf>
    <xf numFmtId="247" fontId="1" fillId="0" borderId="0" xfId="0" applyNumberFormat="1" applyFont="1" applyAlignment="1">
      <alignment horizontal="right" vertical="center" wrapText="1"/>
    </xf>
    <xf numFmtId="245" fontId="1" fillId="0" borderId="0" xfId="0" applyNumberFormat="1" applyFont="1" applyAlignment="1">
      <alignment horizontal="center" vertical="center" wrapText="1"/>
    </xf>
    <xf numFmtId="249" fontId="4" fillId="0" borderId="0" xfId="0" applyNumberFormat="1" applyFont="1" applyAlignment="1">
      <alignment horizontal="right" vertical="center" wrapText="1"/>
    </xf>
    <xf numFmtId="248" fontId="1" fillId="0" borderId="0" xfId="0" applyNumberFormat="1" applyFont="1" applyAlignment="1">
      <alignment horizontal="left" vertical="center" wrapText="1"/>
    </xf>
    <xf numFmtId="258" fontId="1" fillId="0" borderId="0" xfId="0" applyNumberFormat="1" applyFont="1" applyAlignment="1">
      <alignment horizontal="center" vertical="center" wrapText="1"/>
    </xf>
    <xf numFmtId="0" fontId="23" fillId="0" borderId="0" xfId="0" applyFont="1" applyAlignment="1">
      <alignment vertical="center" wrapText="1"/>
    </xf>
    <xf numFmtId="167" fontId="11" fillId="0" borderId="0" xfId="0" applyNumberFormat="1" applyFont="1" applyAlignment="1">
      <alignment horizontal="center" vertical="center" wrapText="1"/>
    </xf>
    <xf numFmtId="247" fontId="18" fillId="0" borderId="0" xfId="0" applyNumberFormat="1" applyFont="1" applyAlignment="1">
      <alignment horizontal="center" vertical="center" wrapText="1"/>
    </xf>
    <xf numFmtId="246" fontId="4" fillId="0" borderId="0" xfId="0" applyNumberFormat="1" applyFont="1" applyAlignment="1">
      <alignment horizontal="left" vertical="center" wrapText="1"/>
    </xf>
    <xf numFmtId="246" fontId="4" fillId="0" borderId="0" xfId="0" applyNumberFormat="1" applyFont="1" applyAlignment="1">
      <alignment horizontal="center" vertical="center" wrapText="1"/>
    </xf>
    <xf numFmtId="0" fontId="2" fillId="0" borderId="0" xfId="0" applyFont="1" applyAlignment="1">
      <alignment vertical="center" wrapText="1"/>
    </xf>
    <xf numFmtId="236" fontId="18" fillId="0" borderId="0" xfId="0" applyNumberFormat="1" applyFont="1" applyAlignment="1">
      <alignment horizontal="center" vertical="center" wrapText="1"/>
    </xf>
    <xf numFmtId="254" fontId="20" fillId="0" borderId="0" xfId="0" applyNumberFormat="1" applyFont="1" applyAlignment="1">
      <alignment horizontal="center" vertical="center" wrapText="1"/>
    </xf>
    <xf numFmtId="255" fontId="14" fillId="0" borderId="0" xfId="0" applyNumberFormat="1" applyFont="1" applyAlignment="1">
      <alignment horizontal="left" vertical="center" wrapText="1"/>
    </xf>
    <xf numFmtId="252" fontId="18" fillId="0" borderId="0" xfId="0" applyNumberFormat="1" applyFont="1" applyAlignment="1">
      <alignment horizontal="center" vertical="center" wrapText="1"/>
    </xf>
    <xf numFmtId="253" fontId="4" fillId="0" borderId="0" xfId="0" applyNumberFormat="1" applyFont="1" applyAlignment="1">
      <alignment horizontal="left" vertical="center" wrapText="1"/>
    </xf>
    <xf numFmtId="252" fontId="21" fillId="0" borderId="0" xfId="0" applyNumberFormat="1" applyFont="1" applyAlignment="1">
      <alignment horizontal="center" vertical="center" wrapText="1"/>
    </xf>
    <xf numFmtId="235" fontId="18" fillId="0" borderId="0" xfId="0" applyNumberFormat="1" applyFont="1" applyAlignment="1">
      <alignment horizontal="center" vertical="center" wrapText="1"/>
    </xf>
    <xf numFmtId="190" fontId="1" fillId="0" borderId="0" xfId="0" applyNumberFormat="1" applyFont="1" applyBorder="1" applyAlignment="1">
      <alignment horizontal="right" vertical="center" wrapText="1"/>
    </xf>
    <xf numFmtId="256" fontId="4" fillId="0" borderId="0" xfId="0" applyNumberFormat="1" applyFont="1" applyAlignment="1">
      <alignment horizontal="right" vertical="center" wrapText="1"/>
    </xf>
    <xf numFmtId="181" fontId="4" fillId="0" borderId="0" xfId="0" applyNumberFormat="1" applyFont="1" applyAlignment="1">
      <alignment horizontal="right" vertical="center" wrapText="1"/>
    </xf>
    <xf numFmtId="181" fontId="4" fillId="0" borderId="0" xfId="0" applyNumberFormat="1" applyFont="1" applyAlignment="1">
      <alignment horizontal="left" vertical="center" wrapText="1"/>
    </xf>
    <xf numFmtId="181" fontId="1" fillId="0" borderId="0" xfId="0" applyNumberFormat="1" applyFont="1" applyAlignment="1">
      <alignment horizontal="right" vertical="center" wrapText="1"/>
    </xf>
    <xf numFmtId="259" fontId="4" fillId="0" borderId="0" xfId="0" applyNumberFormat="1" applyFont="1" applyAlignment="1">
      <alignment horizontal="right" vertical="center" wrapText="1"/>
    </xf>
    <xf numFmtId="252" fontId="1" fillId="0" borderId="0" xfId="0" applyNumberFormat="1" applyFont="1" applyAlignment="1">
      <alignment horizontal="center" vertical="center" wrapText="1"/>
    </xf>
    <xf numFmtId="252" fontId="11" fillId="0" borderId="0" xfId="0" applyNumberFormat="1" applyFont="1" applyAlignment="1">
      <alignment horizontal="center" vertical="center" wrapText="1"/>
    </xf>
    <xf numFmtId="236" fontId="1" fillId="0" borderId="0" xfId="0" applyNumberFormat="1" applyFont="1" applyAlignment="1">
      <alignment horizontal="center" vertical="center" wrapText="1"/>
    </xf>
    <xf numFmtId="257" fontId="1" fillId="0" borderId="0" xfId="0" applyNumberFormat="1" applyFont="1" applyAlignment="1">
      <alignment horizontal="center" vertical="center" wrapText="1"/>
    </xf>
    <xf numFmtId="263" fontId="18" fillId="0" borderId="2" xfId="0" applyNumberFormat="1" applyFont="1" applyBorder="1" applyAlignment="1">
      <alignment horizontal="right" vertical="center" wrapText="1"/>
    </xf>
    <xf numFmtId="263" fontId="18" fillId="0" borderId="6" xfId="0" applyNumberFormat="1" applyFont="1" applyBorder="1" applyAlignment="1">
      <alignment horizontal="right" vertical="center" wrapText="1"/>
    </xf>
    <xf numFmtId="264" fontId="1" fillId="0" borderId="1" xfId="0" applyNumberFormat="1" applyFont="1" applyBorder="1" applyAlignment="1">
      <alignment horizontal="center" vertical="center" wrapText="1"/>
    </xf>
    <xf numFmtId="0" fontId="3" fillId="6" borderId="2" xfId="0" applyFont="1" applyFill="1" applyBorder="1" applyAlignment="1">
      <alignment horizontal="left" vertical="center" wrapText="1"/>
    </xf>
    <xf numFmtId="0" fontId="3" fillId="6" borderId="6" xfId="0" applyFont="1" applyFill="1" applyBorder="1" applyAlignment="1">
      <alignment horizontal="left" vertical="center" wrapText="1"/>
    </xf>
    <xf numFmtId="0" fontId="3" fillId="6" borderId="3" xfId="0" applyFont="1" applyFill="1" applyBorder="1" applyAlignment="1">
      <alignment horizontal="left" vertical="center" wrapText="1"/>
    </xf>
    <xf numFmtId="240" fontId="4" fillId="0" borderId="0" xfId="0" applyNumberFormat="1" applyFont="1" applyAlignment="1">
      <alignment horizontal="center" vertical="center" wrapText="1"/>
    </xf>
    <xf numFmtId="0" fontId="20" fillId="0" borderId="0" xfId="0" applyFont="1" applyAlignment="1">
      <alignment horizontal="right" vertical="center" wrapText="1"/>
    </xf>
    <xf numFmtId="241" fontId="4" fillId="0" borderId="0" xfId="0" applyNumberFormat="1" applyFont="1" applyAlignment="1">
      <alignment horizontal="left" vertical="center" wrapText="1"/>
    </xf>
    <xf numFmtId="263" fontId="4" fillId="0" borderId="0" xfId="0" applyNumberFormat="1" applyFont="1" applyAlignment="1">
      <alignment horizontal="center" vertical="center" wrapText="1"/>
    </xf>
    <xf numFmtId="207" fontId="1" fillId="0" borderId="0" xfId="0" applyNumberFormat="1" applyFont="1" applyAlignment="1">
      <alignment horizontal="center" vertical="center" wrapText="1"/>
    </xf>
    <xf numFmtId="261" fontId="4" fillId="0" borderId="0" xfId="0" applyNumberFormat="1" applyFont="1" applyAlignment="1">
      <alignment horizontal="center" vertical="center" wrapText="1"/>
    </xf>
    <xf numFmtId="262" fontId="18" fillId="0" borderId="0" xfId="0" applyNumberFormat="1" applyFont="1" applyAlignment="1">
      <alignment horizontal="left" vertical="center" wrapText="1"/>
    </xf>
    <xf numFmtId="181" fontId="18" fillId="0" borderId="0" xfId="0" applyNumberFormat="1" applyFont="1" applyAlignment="1">
      <alignment horizontal="center" vertical="center" wrapText="1"/>
    </xf>
    <xf numFmtId="365" fontId="4" fillId="0" borderId="0" xfId="0" applyNumberFormat="1" applyFont="1" applyAlignment="1">
      <alignment horizontal="left" vertical="center" wrapText="1"/>
    </xf>
    <xf numFmtId="0" fontId="4" fillId="0" borderId="0" xfId="0" applyFont="1" applyAlignment="1">
      <alignment horizontal="right" wrapText="1"/>
    </xf>
    <xf numFmtId="267" fontId="4" fillId="0" borderId="0" xfId="0" applyNumberFormat="1" applyFont="1" applyAlignment="1">
      <alignment horizontal="left" vertical="center" wrapText="1"/>
    </xf>
    <xf numFmtId="266" fontId="4" fillId="0" borderId="0" xfId="0" applyNumberFormat="1" applyFont="1" applyAlignment="1">
      <alignment horizontal="left" vertical="center" wrapText="1"/>
    </xf>
    <xf numFmtId="0" fontId="1" fillId="0" borderId="0" xfId="0" applyFont="1" applyAlignment="1">
      <alignment horizontal="left" wrapText="1"/>
    </xf>
    <xf numFmtId="271" fontId="4" fillId="0" borderId="0" xfId="0" applyNumberFormat="1" applyFont="1" applyAlignment="1">
      <alignment horizontal="center" vertical="center" wrapText="1"/>
    </xf>
    <xf numFmtId="267" fontId="1" fillId="0" borderId="1" xfId="0" applyNumberFormat="1" applyFont="1" applyBorder="1" applyAlignment="1">
      <alignment horizontal="center" vertical="center" wrapText="1"/>
    </xf>
    <xf numFmtId="277" fontId="4" fillId="0" borderId="0" xfId="0" applyNumberFormat="1" applyFont="1" applyAlignment="1">
      <alignment horizontal="center" vertical="center" wrapText="1"/>
    </xf>
    <xf numFmtId="278" fontId="4" fillId="0" borderId="0" xfId="0" applyNumberFormat="1" applyFont="1" applyAlignment="1">
      <alignment horizontal="center" vertical="center" wrapText="1"/>
    </xf>
    <xf numFmtId="273" fontId="11" fillId="0" borderId="0" xfId="0" quotePrefix="1" applyNumberFormat="1" applyFont="1" applyAlignment="1">
      <alignment horizontal="center" vertical="center" wrapText="1"/>
    </xf>
    <xf numFmtId="265" fontId="1" fillId="0" borderId="1" xfId="0" applyNumberFormat="1" applyFont="1" applyBorder="1" applyAlignment="1">
      <alignment horizontal="center" vertical="center" wrapText="1"/>
    </xf>
    <xf numFmtId="0" fontId="1" fillId="0" borderId="0" xfId="0" applyFont="1" applyBorder="1" applyAlignment="1">
      <alignment horizontal="center" vertical="center" wrapText="1"/>
    </xf>
    <xf numFmtId="270" fontId="1" fillId="0" borderId="1" xfId="0" applyNumberFormat="1" applyFont="1" applyBorder="1" applyAlignment="1">
      <alignment horizontal="center" vertical="center" wrapText="1"/>
    </xf>
    <xf numFmtId="0" fontId="1" fillId="0" borderId="2" xfId="0" applyFont="1" applyBorder="1" applyAlignment="1">
      <alignment horizontal="right" vertical="center" wrapText="1"/>
    </xf>
    <xf numFmtId="0" fontId="1" fillId="0" borderId="6" xfId="0" applyFont="1" applyBorder="1" applyAlignment="1">
      <alignment horizontal="right" vertical="center" wrapText="1"/>
    </xf>
    <xf numFmtId="280" fontId="1" fillId="0" borderId="6" xfId="0" applyNumberFormat="1" applyFont="1" applyBorder="1" applyAlignment="1">
      <alignment horizontal="left" vertical="center" wrapText="1"/>
    </xf>
    <xf numFmtId="280" fontId="1" fillId="0" borderId="3" xfId="0" applyNumberFormat="1" applyFont="1" applyBorder="1" applyAlignment="1">
      <alignment horizontal="left" vertical="center" wrapText="1"/>
    </xf>
    <xf numFmtId="281" fontId="1" fillId="0" borderId="6" xfId="0" applyNumberFormat="1" applyFont="1" applyBorder="1" applyAlignment="1">
      <alignment horizontal="left" vertical="center" wrapText="1"/>
    </xf>
    <xf numFmtId="281" fontId="1" fillId="0" borderId="3" xfId="0" applyNumberFormat="1" applyFont="1" applyBorder="1" applyAlignment="1">
      <alignment horizontal="left" vertical="center" wrapText="1"/>
    </xf>
    <xf numFmtId="279" fontId="1" fillId="0" borderId="1" xfId="0" applyNumberFormat="1" applyFont="1" applyBorder="1" applyAlignment="1">
      <alignment horizontal="center" vertical="center" wrapText="1"/>
    </xf>
    <xf numFmtId="297" fontId="1" fillId="0" borderId="0" xfId="0" applyNumberFormat="1" applyFont="1" applyAlignment="1">
      <alignment horizontal="right" vertical="center" wrapText="1"/>
    </xf>
    <xf numFmtId="307" fontId="1" fillId="0" borderId="0" xfId="0" applyNumberFormat="1" applyFont="1" applyAlignment="1">
      <alignment horizontal="center" vertical="center" wrapText="1"/>
    </xf>
    <xf numFmtId="294" fontId="1" fillId="0" borderId="0" xfId="0" applyNumberFormat="1" applyFont="1" applyAlignment="1">
      <alignment horizontal="center" vertical="center" wrapText="1"/>
    </xf>
    <xf numFmtId="290" fontId="1" fillId="0" borderId="0" xfId="0" applyNumberFormat="1" applyFont="1" applyAlignment="1">
      <alignment horizontal="left" vertical="center" wrapText="1"/>
    </xf>
    <xf numFmtId="0" fontId="10" fillId="0" borderId="0" xfId="0" applyFont="1" applyAlignment="1">
      <alignment horizontal="center" vertical="center" wrapText="1"/>
    </xf>
    <xf numFmtId="283" fontId="4" fillId="0" borderId="0" xfId="0" applyNumberFormat="1" applyFont="1" applyAlignment="1">
      <alignment horizontal="left" vertical="center" wrapText="1"/>
    </xf>
    <xf numFmtId="172" fontId="1" fillId="0" borderId="0" xfId="0" applyNumberFormat="1" applyFont="1" applyAlignment="1">
      <alignment horizontal="left" vertical="center" wrapText="1"/>
    </xf>
    <xf numFmtId="312" fontId="4" fillId="0" borderId="0" xfId="0" applyNumberFormat="1" applyFont="1" applyAlignment="1">
      <alignment horizontal="left" vertical="center" wrapText="1"/>
    </xf>
    <xf numFmtId="305" fontId="18" fillId="0" borderId="0" xfId="0" applyNumberFormat="1" applyFont="1" applyAlignment="1">
      <alignment horizontal="center" vertical="center" wrapText="1"/>
    </xf>
    <xf numFmtId="282" fontId="1" fillId="0" borderId="1" xfId="0" applyNumberFormat="1" applyFont="1" applyBorder="1" applyAlignment="1">
      <alignment horizontal="center" vertical="center" wrapText="1"/>
    </xf>
    <xf numFmtId="306" fontId="4" fillId="0" borderId="0" xfId="0" applyNumberFormat="1" applyFont="1" applyAlignment="1">
      <alignment horizontal="left" vertical="center" wrapText="1"/>
    </xf>
    <xf numFmtId="315" fontId="1" fillId="0" borderId="0" xfId="0" applyNumberFormat="1" applyFont="1" applyAlignment="1">
      <alignment horizontal="center" vertical="center" wrapText="1"/>
    </xf>
    <xf numFmtId="366" fontId="1" fillId="0" borderId="0" xfId="0" applyNumberFormat="1" applyFont="1" applyAlignment="1">
      <alignment horizontal="left" vertical="center" wrapText="1"/>
    </xf>
    <xf numFmtId="221" fontId="1" fillId="0" borderId="1" xfId="0" applyNumberFormat="1" applyFont="1" applyBorder="1" applyAlignment="1">
      <alignment horizontal="center" vertical="center" wrapText="1"/>
    </xf>
    <xf numFmtId="304" fontId="1" fillId="0" borderId="1" xfId="0" applyNumberFormat="1" applyFont="1" applyBorder="1" applyAlignment="1">
      <alignment horizontal="center" vertical="center" wrapText="1"/>
    </xf>
    <xf numFmtId="180" fontId="1" fillId="4" borderId="1" xfId="0" applyNumberFormat="1" applyFont="1" applyFill="1" applyBorder="1" applyAlignment="1">
      <alignment horizontal="center" vertical="center" wrapText="1"/>
    </xf>
    <xf numFmtId="282" fontId="1" fillId="0" borderId="12" xfId="0" applyNumberFormat="1" applyFont="1" applyBorder="1" applyAlignment="1">
      <alignment horizontal="center" vertical="center" wrapText="1"/>
    </xf>
    <xf numFmtId="0" fontId="1" fillId="0" borderId="12" xfId="0" applyFont="1" applyBorder="1" applyAlignment="1">
      <alignment horizontal="center" vertical="center" wrapText="1"/>
    </xf>
    <xf numFmtId="279" fontId="18"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227" fontId="18" fillId="0" borderId="1" xfId="0" applyNumberFormat="1" applyFont="1" applyBorder="1" applyAlignment="1">
      <alignment horizontal="center" vertical="center" wrapText="1"/>
    </xf>
    <xf numFmtId="180" fontId="1" fillId="3" borderId="1" xfId="0" applyNumberFormat="1" applyFont="1" applyFill="1" applyBorder="1" applyAlignment="1">
      <alignment horizontal="center" vertical="center" wrapText="1"/>
    </xf>
    <xf numFmtId="338" fontId="1" fillId="0" borderId="1" xfId="0" applyNumberFormat="1" applyFont="1" applyBorder="1" applyAlignment="1">
      <alignment horizontal="center" vertical="center" wrapText="1"/>
    </xf>
    <xf numFmtId="341" fontId="1" fillId="0" borderId="1" xfId="0" applyNumberFormat="1" applyFont="1" applyBorder="1" applyAlignment="1">
      <alignment horizontal="center" vertical="center" wrapText="1"/>
    </xf>
    <xf numFmtId="243" fontId="1" fillId="0" borderId="0" xfId="0" applyNumberFormat="1" applyFont="1" applyAlignment="1">
      <alignment horizontal="center" vertical="center" wrapText="1"/>
    </xf>
    <xf numFmtId="207" fontId="18" fillId="0" borderId="0" xfId="0" applyNumberFormat="1" applyFont="1" applyAlignment="1">
      <alignment horizontal="left" vertical="center" wrapText="1"/>
    </xf>
    <xf numFmtId="344" fontId="1" fillId="0" borderId="0" xfId="0" applyNumberFormat="1" applyFont="1" applyAlignment="1">
      <alignment horizontal="left" vertical="center" wrapText="1"/>
    </xf>
    <xf numFmtId="321" fontId="20" fillId="0" borderId="0" xfId="0" applyNumberFormat="1" applyFont="1" applyAlignment="1">
      <alignment horizontal="left" vertical="center" wrapText="1"/>
    </xf>
    <xf numFmtId="357" fontId="4" fillId="0" borderId="0" xfId="0" applyNumberFormat="1" applyFont="1" applyAlignment="1">
      <alignment horizontal="left" vertical="center" wrapText="1"/>
    </xf>
    <xf numFmtId="218" fontId="18" fillId="0" borderId="0" xfId="0" applyNumberFormat="1" applyFont="1" applyAlignment="1">
      <alignment horizontal="right" vertical="center" wrapText="1"/>
    </xf>
    <xf numFmtId="0" fontId="20" fillId="0" borderId="0" xfId="0" applyFont="1" applyAlignment="1">
      <alignment horizontal="left" vertical="center" wrapText="1"/>
    </xf>
    <xf numFmtId="0" fontId="1" fillId="0" borderId="0" xfId="0" applyFont="1" applyAlignment="1">
      <alignment vertical="center" wrapText="1"/>
    </xf>
    <xf numFmtId="347" fontId="1" fillId="0" borderId="0" xfId="0" applyNumberFormat="1" applyFont="1" applyAlignment="1">
      <alignment horizontal="center" vertical="center" wrapText="1"/>
    </xf>
    <xf numFmtId="346" fontId="4" fillId="0" borderId="0" xfId="0" applyNumberFormat="1" applyFont="1" applyAlignment="1">
      <alignment horizontal="left" vertical="center" wrapText="1"/>
    </xf>
    <xf numFmtId="348" fontId="1" fillId="0" borderId="0" xfId="0" applyNumberFormat="1" applyFont="1" applyAlignment="1">
      <alignment horizontal="left" vertical="center" wrapText="1"/>
    </xf>
    <xf numFmtId="350" fontId="1" fillId="0" borderId="0" xfId="0" applyNumberFormat="1" applyFont="1" applyAlignment="1">
      <alignment horizontal="center" vertical="center" wrapText="1"/>
    </xf>
    <xf numFmtId="351" fontId="1" fillId="0" borderId="0" xfId="0" applyNumberFormat="1" applyFont="1" applyAlignment="1">
      <alignment horizontal="left" vertical="center" wrapText="1"/>
    </xf>
    <xf numFmtId="368" fontId="4" fillId="0" borderId="0" xfId="0" applyNumberFormat="1" applyFont="1" applyAlignment="1">
      <alignment horizontal="center" vertical="center" wrapText="1"/>
    </xf>
    <xf numFmtId="2" fontId="1" fillId="0" borderId="0" xfId="0" applyNumberFormat="1" applyFont="1" applyAlignment="1">
      <alignment horizontal="left" vertical="center" wrapText="1"/>
    </xf>
    <xf numFmtId="347" fontId="1" fillId="0" borderId="0" xfId="0" applyNumberFormat="1" applyFont="1" applyAlignment="1">
      <alignment horizontal="left" vertical="center" wrapText="1"/>
    </xf>
    <xf numFmtId="316" fontId="4" fillId="0" borderId="0" xfId="0" applyNumberFormat="1" applyFont="1" applyAlignment="1">
      <alignment horizontal="center" vertical="center" wrapText="1"/>
    </xf>
    <xf numFmtId="318" fontId="4" fillId="0" borderId="0" xfId="0" applyNumberFormat="1" applyFont="1" applyAlignment="1">
      <alignment horizontal="left" vertical="center" wrapText="1"/>
    </xf>
    <xf numFmtId="325" fontId="15" fillId="0" borderId="0" xfId="0" applyNumberFormat="1" applyFont="1" applyAlignment="1">
      <alignment horizontal="left" vertical="center" wrapText="1"/>
    </xf>
    <xf numFmtId="324" fontId="18" fillId="0" borderId="0" xfId="0" applyNumberFormat="1" applyFont="1" applyAlignment="1">
      <alignment horizontal="left" vertical="center" wrapText="1"/>
    </xf>
    <xf numFmtId="319" fontId="4" fillId="0" borderId="0" xfId="0" applyNumberFormat="1" applyFont="1" applyAlignment="1">
      <alignment horizontal="left" vertical="center" wrapText="1"/>
    </xf>
    <xf numFmtId="173" fontId="4" fillId="0" borderId="0" xfId="0" applyNumberFormat="1" applyFont="1" applyAlignment="1">
      <alignment horizontal="right" vertical="center" wrapText="1"/>
    </xf>
    <xf numFmtId="322" fontId="1" fillId="0" borderId="0" xfId="0" applyNumberFormat="1" applyFont="1" applyAlignment="1">
      <alignment horizontal="right" vertical="center" wrapText="1"/>
    </xf>
    <xf numFmtId="328" fontId="1" fillId="0" borderId="0" xfId="0" applyNumberFormat="1" applyFont="1" applyAlignment="1">
      <alignment horizontal="left" vertical="center" wrapText="1"/>
    </xf>
    <xf numFmtId="329" fontId="4" fillId="0" borderId="0" xfId="0" applyNumberFormat="1" applyFont="1" applyAlignment="1">
      <alignment horizontal="center" vertical="center" wrapText="1"/>
    </xf>
    <xf numFmtId="329" fontId="4" fillId="0" borderId="0" xfId="0" applyNumberFormat="1" applyFont="1" applyAlignment="1">
      <alignment horizontal="left" vertical="center" wrapText="1"/>
    </xf>
    <xf numFmtId="166" fontId="1" fillId="0" borderId="0" xfId="0" applyNumberFormat="1" applyFont="1" applyAlignment="1">
      <alignment horizontal="right" vertical="center" wrapText="1"/>
    </xf>
    <xf numFmtId="334" fontId="1" fillId="0" borderId="0" xfId="0" applyNumberFormat="1" applyFont="1" applyAlignment="1">
      <alignment horizontal="right" vertical="center" wrapText="1"/>
    </xf>
    <xf numFmtId="293" fontId="1" fillId="0" borderId="0" xfId="0" applyNumberFormat="1" applyFont="1" applyAlignment="1">
      <alignment horizontal="left" vertical="center" wrapText="1"/>
    </xf>
    <xf numFmtId="333" fontId="1" fillId="0" borderId="0" xfId="0" applyNumberFormat="1" applyFont="1" applyAlignment="1">
      <alignment horizontal="right" vertical="center" wrapText="1"/>
    </xf>
    <xf numFmtId="0" fontId="1" fillId="0" borderId="7" xfId="0" applyFont="1" applyBorder="1" applyAlignment="1">
      <alignment horizontal="right" vertical="center" wrapText="1"/>
    </xf>
    <xf numFmtId="0" fontId="4" fillId="0" borderId="7" xfId="0" applyFont="1" applyBorder="1" applyAlignment="1">
      <alignment horizontal="left" vertical="center" wrapText="1"/>
    </xf>
    <xf numFmtId="0" fontId="1" fillId="0" borderId="1" xfId="0" applyFont="1" applyBorder="1" applyAlignment="1">
      <alignment horizontal="right" vertical="center" wrapText="1"/>
    </xf>
    <xf numFmtId="337" fontId="4" fillId="0" borderId="0" xfId="0" applyNumberFormat="1" applyFont="1" applyAlignment="1">
      <alignment horizontal="left" vertical="center" wrapText="1"/>
    </xf>
    <xf numFmtId="334" fontId="1" fillId="0" borderId="0" xfId="0" applyNumberFormat="1" applyFont="1" applyAlignment="1">
      <alignment horizontal="left" vertical="center" wrapText="1"/>
    </xf>
    <xf numFmtId="340" fontId="1" fillId="0" borderId="0" xfId="0" applyNumberFormat="1" applyFont="1" applyAlignment="1">
      <alignment horizontal="left" vertical="center" wrapText="1"/>
    </xf>
    <xf numFmtId="337" fontId="1" fillId="0" borderId="0" xfId="0" applyNumberFormat="1" applyFont="1" applyAlignment="1">
      <alignment horizontal="left" vertical="center" wrapText="1"/>
    </xf>
    <xf numFmtId="339" fontId="4" fillId="0" borderId="0" xfId="0" applyNumberFormat="1" applyFont="1" applyAlignment="1">
      <alignment horizontal="center" vertical="center" wrapText="1"/>
    </xf>
    <xf numFmtId="252" fontId="1" fillId="0" borderId="2" xfId="0" applyNumberFormat="1" applyFont="1" applyBorder="1" applyAlignment="1">
      <alignment horizontal="center" vertical="center" wrapText="1"/>
    </xf>
    <xf numFmtId="252" fontId="1" fillId="0" borderId="6" xfId="0" applyNumberFormat="1" applyFont="1" applyBorder="1" applyAlignment="1">
      <alignment horizontal="center" vertical="center" wrapText="1"/>
    </xf>
    <xf numFmtId="252" fontId="1" fillId="0" borderId="3" xfId="0" applyNumberFormat="1" applyFont="1" applyBorder="1" applyAlignment="1">
      <alignment horizontal="center" vertical="center" wrapText="1"/>
    </xf>
    <xf numFmtId="361" fontId="4" fillId="0" borderId="0" xfId="0" applyNumberFormat="1" applyFont="1" applyAlignment="1">
      <alignment horizontal="center" vertical="center" wrapText="1"/>
    </xf>
    <xf numFmtId="229" fontId="4" fillId="0" borderId="0" xfId="0" applyNumberFormat="1" applyFont="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9.emf"/><Relationship Id="rId1" Type="http://schemas.openxmlformats.org/officeDocument/2006/relationships/image" Target="../media/image8.emf"/><Relationship Id="rId4" Type="http://schemas.openxmlformats.org/officeDocument/2006/relationships/image" Target="../media/image1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3.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16.emf"/><Relationship Id="rId2" Type="http://schemas.openxmlformats.org/officeDocument/2006/relationships/image" Target="../media/image15.emf"/><Relationship Id="rId1" Type="http://schemas.openxmlformats.org/officeDocument/2006/relationships/image" Target="../media/image14.emf"/><Relationship Id="rId5" Type="http://schemas.openxmlformats.org/officeDocument/2006/relationships/image" Target="../media/image18.emf"/><Relationship Id="rId4" Type="http://schemas.openxmlformats.org/officeDocument/2006/relationships/image" Target="../media/image17.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104775</xdr:colOff>
          <xdr:row>12</xdr:row>
          <xdr:rowOff>66675</xdr:rowOff>
        </xdr:from>
        <xdr:to>
          <xdr:col>6</xdr:col>
          <xdr:colOff>276225</xdr:colOff>
          <xdr:row>13</xdr:row>
          <xdr:rowOff>85725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xdr:from>
      <xdr:col>4</xdr:col>
      <xdr:colOff>28575</xdr:colOff>
      <xdr:row>14</xdr:row>
      <xdr:rowOff>0</xdr:rowOff>
    </xdr:from>
    <xdr:to>
      <xdr:col>4</xdr:col>
      <xdr:colOff>114300</xdr:colOff>
      <xdr:row>14</xdr:row>
      <xdr:rowOff>200025</xdr:rowOff>
    </xdr:to>
    <xdr:cxnSp macro="">
      <xdr:nvCxnSpPr>
        <xdr:cNvPr id="3" name="Straight Connector 2"/>
        <xdr:cNvCxnSpPr/>
      </xdr:nvCxnSpPr>
      <xdr:spPr>
        <a:xfrm flipH="1">
          <a:off x="2419350" y="2667000"/>
          <a:ext cx="85725"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114300</xdr:colOff>
      <xdr:row>13</xdr:row>
      <xdr:rowOff>180975</xdr:rowOff>
    </xdr:from>
    <xdr:to>
      <xdr:col>4</xdr:col>
      <xdr:colOff>485775</xdr:colOff>
      <xdr:row>13</xdr:row>
      <xdr:rowOff>180975</xdr:rowOff>
    </xdr:to>
    <xdr:cxnSp macro="">
      <xdr:nvCxnSpPr>
        <xdr:cNvPr id="5" name="Straight Connector 4"/>
        <xdr:cNvCxnSpPr/>
      </xdr:nvCxnSpPr>
      <xdr:spPr>
        <a:xfrm>
          <a:off x="2505075" y="2657475"/>
          <a:ext cx="3714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14</xdr:row>
      <xdr:rowOff>57150</xdr:rowOff>
    </xdr:from>
    <xdr:to>
      <xdr:col>4</xdr:col>
      <xdr:colOff>28575</xdr:colOff>
      <xdr:row>14</xdr:row>
      <xdr:rowOff>190500</xdr:rowOff>
    </xdr:to>
    <xdr:cxnSp macro="">
      <xdr:nvCxnSpPr>
        <xdr:cNvPr id="7" name="Straight Connector 6"/>
        <xdr:cNvCxnSpPr/>
      </xdr:nvCxnSpPr>
      <xdr:spPr>
        <a:xfrm>
          <a:off x="2171700" y="2724150"/>
          <a:ext cx="19050" cy="133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209550</xdr:colOff>
      <xdr:row>14</xdr:row>
      <xdr:rowOff>0</xdr:rowOff>
    </xdr:from>
    <xdr:to>
      <xdr:col>6</xdr:col>
      <xdr:colOff>266700</xdr:colOff>
      <xdr:row>14</xdr:row>
      <xdr:rowOff>190500</xdr:rowOff>
    </xdr:to>
    <xdr:sp macro="" textlink="">
      <xdr:nvSpPr>
        <xdr:cNvPr id="2" name="Double Bracket 1"/>
        <xdr:cNvSpPr/>
      </xdr:nvSpPr>
      <xdr:spPr>
        <a:xfrm>
          <a:off x="1809750" y="2667000"/>
          <a:ext cx="1400175" cy="190500"/>
        </a:xfrm>
        <a:prstGeom prst="bracket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0</xdr:col>
      <xdr:colOff>314325</xdr:colOff>
      <xdr:row>19</xdr:row>
      <xdr:rowOff>152400</xdr:rowOff>
    </xdr:from>
    <xdr:to>
      <xdr:col>8</xdr:col>
      <xdr:colOff>66675</xdr:colOff>
      <xdr:row>21</xdr:row>
      <xdr:rowOff>57150</xdr:rowOff>
    </xdr:to>
    <xdr:sp macro="" textlink="">
      <xdr:nvSpPr>
        <xdr:cNvPr id="4" name="Double Bracket 3"/>
        <xdr:cNvSpPr/>
      </xdr:nvSpPr>
      <xdr:spPr>
        <a:xfrm>
          <a:off x="314325" y="3790950"/>
          <a:ext cx="3419475" cy="285750"/>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76200</xdr:colOff>
      <xdr:row>38</xdr:row>
      <xdr:rowOff>180975</xdr:rowOff>
    </xdr:from>
    <xdr:to>
      <xdr:col>12</xdr:col>
      <xdr:colOff>57150</xdr:colOff>
      <xdr:row>40</xdr:row>
      <xdr:rowOff>142875</xdr:rowOff>
    </xdr:to>
    <xdr:sp macro="" textlink="">
      <xdr:nvSpPr>
        <xdr:cNvPr id="2" name="Double Bracket 1"/>
        <xdr:cNvSpPr/>
      </xdr:nvSpPr>
      <xdr:spPr>
        <a:xfrm>
          <a:off x="2762250" y="7800975"/>
          <a:ext cx="2705100" cy="3429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57150</xdr:colOff>
      <xdr:row>43</xdr:row>
      <xdr:rowOff>19050</xdr:rowOff>
    </xdr:from>
    <xdr:to>
      <xdr:col>8</xdr:col>
      <xdr:colOff>9525</xdr:colOff>
      <xdr:row>44</xdr:row>
      <xdr:rowOff>152400</xdr:rowOff>
    </xdr:to>
    <xdr:sp macro="" textlink="">
      <xdr:nvSpPr>
        <xdr:cNvPr id="3" name="Double Bracket 2"/>
        <xdr:cNvSpPr/>
      </xdr:nvSpPr>
      <xdr:spPr>
        <a:xfrm>
          <a:off x="2743200" y="8591550"/>
          <a:ext cx="1085850" cy="3238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38100</xdr:colOff>
      <xdr:row>50</xdr:row>
      <xdr:rowOff>0</xdr:rowOff>
    </xdr:from>
    <xdr:to>
      <xdr:col>12</xdr:col>
      <xdr:colOff>28575</xdr:colOff>
      <xdr:row>51</xdr:row>
      <xdr:rowOff>123825</xdr:rowOff>
    </xdr:to>
    <xdr:sp macro="" textlink="">
      <xdr:nvSpPr>
        <xdr:cNvPr id="4" name="Double Bracket 3"/>
        <xdr:cNvSpPr/>
      </xdr:nvSpPr>
      <xdr:spPr>
        <a:xfrm>
          <a:off x="2724150" y="9906000"/>
          <a:ext cx="2714625" cy="314325"/>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95250</xdr:colOff>
      <xdr:row>53</xdr:row>
      <xdr:rowOff>0</xdr:rowOff>
    </xdr:from>
    <xdr:to>
      <xdr:col>7</xdr:col>
      <xdr:colOff>381000</xdr:colOff>
      <xdr:row>54</xdr:row>
      <xdr:rowOff>161925</xdr:rowOff>
    </xdr:to>
    <xdr:sp macro="" textlink="">
      <xdr:nvSpPr>
        <xdr:cNvPr id="5" name="Double Bracket 4"/>
        <xdr:cNvSpPr/>
      </xdr:nvSpPr>
      <xdr:spPr>
        <a:xfrm>
          <a:off x="2781300" y="10477500"/>
          <a:ext cx="971550" cy="35242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85725</xdr:colOff>
      <xdr:row>68</xdr:row>
      <xdr:rowOff>28575</xdr:rowOff>
    </xdr:from>
    <xdr:to>
      <xdr:col>7</xdr:col>
      <xdr:colOff>428625</xdr:colOff>
      <xdr:row>69</xdr:row>
      <xdr:rowOff>133350</xdr:rowOff>
    </xdr:to>
    <xdr:sp macro="" textlink="">
      <xdr:nvSpPr>
        <xdr:cNvPr id="6" name="Double Bracket 5"/>
        <xdr:cNvSpPr/>
      </xdr:nvSpPr>
      <xdr:spPr>
        <a:xfrm>
          <a:off x="2771775" y="13173075"/>
          <a:ext cx="1028700" cy="29527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133350</xdr:colOff>
      <xdr:row>70</xdr:row>
      <xdr:rowOff>19051</xdr:rowOff>
    </xdr:from>
    <xdr:to>
      <xdr:col>7</xdr:col>
      <xdr:colOff>352425</xdr:colOff>
      <xdr:row>71</xdr:row>
      <xdr:rowOff>152401</xdr:rowOff>
    </xdr:to>
    <xdr:sp macro="" textlink="">
      <xdr:nvSpPr>
        <xdr:cNvPr id="7" name="Double Bracket 6"/>
        <xdr:cNvSpPr/>
      </xdr:nvSpPr>
      <xdr:spPr>
        <a:xfrm>
          <a:off x="2819400" y="13544551"/>
          <a:ext cx="904875" cy="3238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238125</xdr:colOff>
      <xdr:row>81</xdr:row>
      <xdr:rowOff>19050</xdr:rowOff>
    </xdr:from>
    <xdr:to>
      <xdr:col>7</xdr:col>
      <xdr:colOff>323850</xdr:colOff>
      <xdr:row>82</xdr:row>
      <xdr:rowOff>171450</xdr:rowOff>
    </xdr:to>
    <xdr:sp macro="" textlink="">
      <xdr:nvSpPr>
        <xdr:cNvPr id="8" name="Double Bracket 7"/>
        <xdr:cNvSpPr/>
      </xdr:nvSpPr>
      <xdr:spPr>
        <a:xfrm>
          <a:off x="2924175" y="15640050"/>
          <a:ext cx="771525" cy="34290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57150</xdr:colOff>
      <xdr:row>84</xdr:row>
      <xdr:rowOff>0</xdr:rowOff>
    </xdr:from>
    <xdr:to>
      <xdr:col>6</xdr:col>
      <xdr:colOff>657225</xdr:colOff>
      <xdr:row>85</xdr:row>
      <xdr:rowOff>152400</xdr:rowOff>
    </xdr:to>
    <xdr:sp macro="" textlink="">
      <xdr:nvSpPr>
        <xdr:cNvPr id="9" name="Double Bracket 8"/>
        <xdr:cNvSpPr/>
      </xdr:nvSpPr>
      <xdr:spPr>
        <a:xfrm>
          <a:off x="2743200" y="16192500"/>
          <a:ext cx="600075" cy="34290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39</xdr:row>
          <xdr:rowOff>0</xdr:rowOff>
        </xdr:from>
        <xdr:to>
          <xdr:col>7</xdr:col>
          <xdr:colOff>228600</xdr:colOff>
          <xdr:row>41</xdr:row>
          <xdr:rowOff>9525</xdr:rowOff>
        </xdr:to>
        <xdr:sp macro="" textlink="">
          <xdr:nvSpPr>
            <xdr:cNvPr id="17410" name="Object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xdr:twoCellAnchor>
    <xdr:from>
      <xdr:col>1</xdr:col>
      <xdr:colOff>104775</xdr:colOff>
      <xdr:row>43</xdr:row>
      <xdr:rowOff>161925</xdr:rowOff>
    </xdr:from>
    <xdr:to>
      <xdr:col>9</xdr:col>
      <xdr:colOff>95250</xdr:colOff>
      <xdr:row>45</xdr:row>
      <xdr:rowOff>85725</xdr:rowOff>
    </xdr:to>
    <xdr:sp macro="" textlink="">
      <xdr:nvSpPr>
        <xdr:cNvPr id="2" name="Double Brace 1"/>
        <xdr:cNvSpPr/>
      </xdr:nvSpPr>
      <xdr:spPr>
        <a:xfrm>
          <a:off x="523875" y="8420100"/>
          <a:ext cx="4048125" cy="323850"/>
        </a:xfrm>
        <a:prstGeom prst="brace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5</xdr:col>
      <xdr:colOff>514350</xdr:colOff>
      <xdr:row>26</xdr:row>
      <xdr:rowOff>47625</xdr:rowOff>
    </xdr:from>
    <xdr:to>
      <xdr:col>6</xdr:col>
      <xdr:colOff>38100</xdr:colOff>
      <xdr:row>27</xdr:row>
      <xdr:rowOff>123825</xdr:rowOff>
    </xdr:to>
    <xdr:sp macro="" textlink="">
      <xdr:nvSpPr>
        <xdr:cNvPr id="3" name="Multiply 2"/>
        <xdr:cNvSpPr/>
      </xdr:nvSpPr>
      <xdr:spPr>
        <a:xfrm>
          <a:off x="2809875" y="5019675"/>
          <a:ext cx="142875" cy="266700"/>
        </a:xfrm>
        <a:prstGeom prst="mathMultiply">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9525</xdr:colOff>
      <xdr:row>44</xdr:row>
      <xdr:rowOff>0</xdr:rowOff>
    </xdr:from>
    <xdr:to>
      <xdr:col>5</xdr:col>
      <xdr:colOff>9525</xdr:colOff>
      <xdr:row>45</xdr:row>
      <xdr:rowOff>123825</xdr:rowOff>
    </xdr:to>
    <xdr:sp macro="" textlink="">
      <xdr:nvSpPr>
        <xdr:cNvPr id="4" name="Double Bracket 3"/>
        <xdr:cNvSpPr/>
      </xdr:nvSpPr>
      <xdr:spPr>
        <a:xfrm>
          <a:off x="1704975" y="8448675"/>
          <a:ext cx="600075" cy="3333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54</xdr:row>
          <xdr:rowOff>85725</xdr:rowOff>
        </xdr:from>
        <xdr:to>
          <xdr:col>4</xdr:col>
          <xdr:colOff>600075</xdr:colOff>
          <xdr:row>56</xdr:row>
          <xdr:rowOff>104775</xdr:rowOff>
        </xdr:to>
        <xdr:sp macro="" textlink="">
          <xdr:nvSpPr>
            <xdr:cNvPr id="18434" name="Object 2" hidden="1">
              <a:extLst>
                <a:ext uri="{63B3BB69-23CF-44E3-9099-C40C66FF867C}">
                  <a14:compatExt spid="_x0000_s184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54</xdr:row>
          <xdr:rowOff>38100</xdr:rowOff>
        </xdr:from>
        <xdr:to>
          <xdr:col>7</xdr:col>
          <xdr:colOff>342900</xdr:colOff>
          <xdr:row>56</xdr:row>
          <xdr:rowOff>95250</xdr:rowOff>
        </xdr:to>
        <xdr:sp macro="" textlink="">
          <xdr:nvSpPr>
            <xdr:cNvPr id="18435" name="Object 3" hidden="1">
              <a:extLst>
                <a:ext uri="{63B3BB69-23CF-44E3-9099-C40C66FF867C}">
                  <a14:compatExt spid="_x0000_s18435"/>
                </a:ext>
              </a:extLst>
            </xdr:cNvPr>
            <xdr:cNvSpPr/>
          </xdr:nvSpPr>
          <xdr:spPr>
            <a:xfrm>
              <a:off x="0" y="0"/>
              <a:ext cx="0" cy="0"/>
            </a:xfrm>
            <a:prstGeom prst="rect">
              <a:avLst/>
            </a:prstGeom>
          </xdr:spPr>
        </xdr:sp>
        <xdr:clientData/>
      </xdr:twoCellAnchor>
    </mc:Choice>
    <mc:Fallback/>
  </mc:AlternateContent>
  <xdr:twoCellAnchor>
    <xdr:from>
      <xdr:col>4</xdr:col>
      <xdr:colOff>123825</xdr:colOff>
      <xdr:row>57</xdr:row>
      <xdr:rowOff>28575</xdr:rowOff>
    </xdr:from>
    <xdr:to>
      <xdr:col>6</xdr:col>
      <xdr:colOff>9526</xdr:colOff>
      <xdr:row>59</xdr:row>
      <xdr:rowOff>0</xdr:rowOff>
    </xdr:to>
    <xdr:sp macro="" textlink="">
      <xdr:nvSpPr>
        <xdr:cNvPr id="2" name="Double Bracket 1"/>
        <xdr:cNvSpPr/>
      </xdr:nvSpPr>
      <xdr:spPr>
        <a:xfrm>
          <a:off x="2124075" y="11258550"/>
          <a:ext cx="809626" cy="3714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47625</xdr:colOff>
      <xdr:row>62</xdr:row>
      <xdr:rowOff>0</xdr:rowOff>
    </xdr:from>
    <xdr:to>
      <xdr:col>7</xdr:col>
      <xdr:colOff>438150</xdr:colOff>
      <xdr:row>63</xdr:row>
      <xdr:rowOff>152400</xdr:rowOff>
    </xdr:to>
    <xdr:sp macro="" textlink="">
      <xdr:nvSpPr>
        <xdr:cNvPr id="3" name="Double Bracket 2"/>
        <xdr:cNvSpPr/>
      </xdr:nvSpPr>
      <xdr:spPr>
        <a:xfrm>
          <a:off x="3152775" y="12582525"/>
          <a:ext cx="1047750" cy="3429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28575</xdr:colOff>
      <xdr:row>65</xdr:row>
      <xdr:rowOff>0</xdr:rowOff>
    </xdr:from>
    <xdr:to>
      <xdr:col>6</xdr:col>
      <xdr:colOff>628650</xdr:colOff>
      <xdr:row>66</xdr:row>
      <xdr:rowOff>180975</xdr:rowOff>
    </xdr:to>
    <xdr:sp macro="" textlink="">
      <xdr:nvSpPr>
        <xdr:cNvPr id="4" name="Double Brace 3"/>
        <xdr:cNvSpPr/>
      </xdr:nvSpPr>
      <xdr:spPr>
        <a:xfrm>
          <a:off x="3133725" y="13154025"/>
          <a:ext cx="600075" cy="371475"/>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542925</xdr:colOff>
          <xdr:row>68</xdr:row>
          <xdr:rowOff>28575</xdr:rowOff>
        </xdr:from>
        <xdr:to>
          <xdr:col>4</xdr:col>
          <xdr:colOff>590550</xdr:colOff>
          <xdr:row>70</xdr:row>
          <xdr:rowOff>47625</xdr:rowOff>
        </xdr:to>
        <xdr:sp macro="" textlink="">
          <xdr:nvSpPr>
            <xdr:cNvPr id="18436" name="Object 4" hidden="1">
              <a:extLst>
                <a:ext uri="{63B3BB69-23CF-44E3-9099-C40C66FF867C}">
                  <a14:compatExt spid="_x0000_s18436"/>
                </a:ext>
              </a:extLst>
            </xdr:cNvPr>
            <xdr:cNvSpPr/>
          </xdr:nvSpPr>
          <xdr:spPr>
            <a:xfrm>
              <a:off x="0" y="0"/>
              <a:ext cx="0" cy="0"/>
            </a:xfrm>
            <a:prstGeom prst="rect">
              <a:avLst/>
            </a:prstGeom>
          </xdr:spPr>
        </xdr:sp>
        <xdr:clientData/>
      </xdr:twoCellAnchor>
    </mc:Choice>
    <mc:Fallback/>
  </mc:AlternateContent>
  <xdr:twoCellAnchor>
    <xdr:from>
      <xdr:col>6</xdr:col>
      <xdr:colOff>0</xdr:colOff>
      <xdr:row>68</xdr:row>
      <xdr:rowOff>0</xdr:rowOff>
    </xdr:from>
    <xdr:to>
      <xdr:col>7</xdr:col>
      <xdr:colOff>19050</xdr:colOff>
      <xdr:row>70</xdr:row>
      <xdr:rowOff>0</xdr:rowOff>
    </xdr:to>
    <xdr:sp macro="" textlink="">
      <xdr:nvSpPr>
        <xdr:cNvPr id="5" name="Double Brace 4"/>
        <xdr:cNvSpPr/>
      </xdr:nvSpPr>
      <xdr:spPr>
        <a:xfrm>
          <a:off x="3105150" y="13725525"/>
          <a:ext cx="676275" cy="3810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304800</xdr:colOff>
          <xdr:row>76</xdr:row>
          <xdr:rowOff>9525</xdr:rowOff>
        </xdr:from>
        <xdr:to>
          <xdr:col>3</xdr:col>
          <xdr:colOff>352425</xdr:colOff>
          <xdr:row>77</xdr:row>
          <xdr:rowOff>95250</xdr:rowOff>
        </xdr:to>
        <xdr:sp macro="" textlink="">
          <xdr:nvSpPr>
            <xdr:cNvPr id="18437" name="Object 5" hidden="1">
              <a:extLst>
                <a:ext uri="{63B3BB69-23CF-44E3-9099-C40C66FF867C}">
                  <a14:compatExt spid="_x0000_s184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85</xdr:row>
          <xdr:rowOff>0</xdr:rowOff>
        </xdr:from>
        <xdr:to>
          <xdr:col>6</xdr:col>
          <xdr:colOff>95250</xdr:colOff>
          <xdr:row>87</xdr:row>
          <xdr:rowOff>9525</xdr:rowOff>
        </xdr:to>
        <xdr:sp macro="" textlink="">
          <xdr:nvSpPr>
            <xdr:cNvPr id="18438" name="Object 6" hidden="1">
              <a:extLst>
                <a:ext uri="{63B3BB69-23CF-44E3-9099-C40C66FF867C}">
                  <a14:compatExt spid="_x0000_s18438"/>
                </a:ext>
              </a:extLst>
            </xdr:cNvPr>
            <xdr:cNvSpPr/>
          </xdr:nvSpPr>
          <xdr:spPr>
            <a:xfrm>
              <a:off x="0" y="0"/>
              <a:ext cx="0" cy="0"/>
            </a:xfrm>
            <a:prstGeom prst="rect">
              <a:avLst/>
            </a:prstGeom>
          </xdr:spPr>
        </xdr:sp>
        <xdr:clientData/>
      </xdr:twoCellAnchor>
    </mc:Choice>
    <mc:Fallback/>
  </mc:AlternateContent>
  <xdr:twoCellAnchor>
    <xdr:from>
      <xdr:col>6</xdr:col>
      <xdr:colOff>9525</xdr:colOff>
      <xdr:row>125</xdr:row>
      <xdr:rowOff>161925</xdr:rowOff>
    </xdr:from>
    <xdr:to>
      <xdr:col>8</xdr:col>
      <xdr:colOff>57150</xdr:colOff>
      <xdr:row>128</xdr:row>
      <xdr:rowOff>9525</xdr:rowOff>
    </xdr:to>
    <xdr:sp macro="" textlink="">
      <xdr:nvSpPr>
        <xdr:cNvPr id="6" name="Double Brace 5"/>
        <xdr:cNvSpPr/>
      </xdr:nvSpPr>
      <xdr:spPr>
        <a:xfrm>
          <a:off x="2962275" y="24136350"/>
          <a:ext cx="1333500" cy="447675"/>
        </a:xfrm>
        <a:prstGeom prst="brace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590550</xdr:colOff>
      <xdr:row>82</xdr:row>
      <xdr:rowOff>133350</xdr:rowOff>
    </xdr:from>
    <xdr:to>
      <xdr:col>6</xdr:col>
      <xdr:colOff>590550</xdr:colOff>
      <xdr:row>85</xdr:row>
      <xdr:rowOff>0</xdr:rowOff>
    </xdr:to>
    <xdr:sp macro="" textlink="">
      <xdr:nvSpPr>
        <xdr:cNvPr id="7" name="Double Brace 6"/>
        <xdr:cNvSpPr/>
      </xdr:nvSpPr>
      <xdr:spPr>
        <a:xfrm>
          <a:off x="762000" y="15782925"/>
          <a:ext cx="2781300" cy="43815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95249</xdr:colOff>
      <xdr:row>93</xdr:row>
      <xdr:rowOff>123825</xdr:rowOff>
    </xdr:from>
    <xdr:to>
      <xdr:col>7</xdr:col>
      <xdr:colOff>514349</xdr:colOff>
      <xdr:row>95</xdr:row>
      <xdr:rowOff>123825</xdr:rowOff>
    </xdr:to>
    <xdr:sp macro="" textlink="">
      <xdr:nvSpPr>
        <xdr:cNvPr id="8" name="Double Brace 7"/>
        <xdr:cNvSpPr/>
      </xdr:nvSpPr>
      <xdr:spPr>
        <a:xfrm>
          <a:off x="876299" y="17916525"/>
          <a:ext cx="3248025" cy="3810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381000</xdr:colOff>
      <xdr:row>124</xdr:row>
      <xdr:rowOff>9525</xdr:rowOff>
    </xdr:from>
    <xdr:to>
      <xdr:col>4</xdr:col>
      <xdr:colOff>514350</xdr:colOff>
      <xdr:row>125</xdr:row>
      <xdr:rowOff>123825</xdr:rowOff>
    </xdr:to>
    <xdr:sp macro="" textlink="">
      <xdr:nvSpPr>
        <xdr:cNvPr id="9" name="Double Brace 8"/>
        <xdr:cNvSpPr/>
      </xdr:nvSpPr>
      <xdr:spPr>
        <a:xfrm>
          <a:off x="552450" y="23793450"/>
          <a:ext cx="2057400" cy="3048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19050</xdr:colOff>
      <xdr:row>129</xdr:row>
      <xdr:rowOff>200025</xdr:rowOff>
    </xdr:from>
    <xdr:to>
      <xdr:col>7</xdr:col>
      <xdr:colOff>466725</xdr:colOff>
      <xdr:row>131</xdr:row>
      <xdr:rowOff>152400</xdr:rowOff>
    </xdr:to>
    <xdr:sp macro="" textlink="">
      <xdr:nvSpPr>
        <xdr:cNvPr id="10" name="Double Brace 9"/>
        <xdr:cNvSpPr/>
      </xdr:nvSpPr>
      <xdr:spPr>
        <a:xfrm>
          <a:off x="2971800" y="24965025"/>
          <a:ext cx="1104900" cy="352425"/>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485775</xdr:colOff>
      <xdr:row>105</xdr:row>
      <xdr:rowOff>9525</xdr:rowOff>
    </xdr:from>
    <xdr:to>
      <xdr:col>4</xdr:col>
      <xdr:colOff>133350</xdr:colOff>
      <xdr:row>106</xdr:row>
      <xdr:rowOff>123825</xdr:rowOff>
    </xdr:to>
    <xdr:sp macro="" textlink="">
      <xdr:nvSpPr>
        <xdr:cNvPr id="11" name="Double Bracket 10"/>
        <xdr:cNvSpPr/>
      </xdr:nvSpPr>
      <xdr:spPr>
        <a:xfrm>
          <a:off x="1266825" y="20145375"/>
          <a:ext cx="962025" cy="3048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200024</xdr:colOff>
      <xdr:row>28</xdr:row>
      <xdr:rowOff>171450</xdr:rowOff>
    </xdr:from>
    <xdr:to>
      <xdr:col>9</xdr:col>
      <xdr:colOff>438149</xdr:colOff>
      <xdr:row>30</xdr:row>
      <xdr:rowOff>171450</xdr:rowOff>
    </xdr:to>
    <xdr:sp macro="" textlink="">
      <xdr:nvSpPr>
        <xdr:cNvPr id="2" name="Double Bracket 1"/>
        <xdr:cNvSpPr/>
      </xdr:nvSpPr>
      <xdr:spPr>
        <a:xfrm>
          <a:off x="3381374" y="5505450"/>
          <a:ext cx="2209800" cy="381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95250</xdr:colOff>
      <xdr:row>32</xdr:row>
      <xdr:rowOff>0</xdr:rowOff>
    </xdr:from>
    <xdr:to>
      <xdr:col>6</xdr:col>
      <xdr:colOff>581025</xdr:colOff>
      <xdr:row>34</xdr:row>
      <xdr:rowOff>0</xdr:rowOff>
    </xdr:to>
    <xdr:sp macro="" textlink="">
      <xdr:nvSpPr>
        <xdr:cNvPr id="3" name="Double Bracket 2"/>
        <xdr:cNvSpPr/>
      </xdr:nvSpPr>
      <xdr:spPr>
        <a:xfrm>
          <a:off x="2962275" y="6096000"/>
          <a:ext cx="485775" cy="381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133350</xdr:colOff>
      <xdr:row>34</xdr:row>
      <xdr:rowOff>161925</xdr:rowOff>
    </xdr:from>
    <xdr:to>
      <xdr:col>6</xdr:col>
      <xdr:colOff>581025</xdr:colOff>
      <xdr:row>36</xdr:row>
      <xdr:rowOff>161925</xdr:rowOff>
    </xdr:to>
    <xdr:sp macro="" textlink="">
      <xdr:nvSpPr>
        <xdr:cNvPr id="4" name="Double Bracket 3"/>
        <xdr:cNvSpPr/>
      </xdr:nvSpPr>
      <xdr:spPr>
        <a:xfrm>
          <a:off x="3000375" y="6638925"/>
          <a:ext cx="447675" cy="381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9525</xdr:colOff>
      <xdr:row>36</xdr:row>
      <xdr:rowOff>152400</xdr:rowOff>
    </xdr:from>
    <xdr:to>
      <xdr:col>2</xdr:col>
      <xdr:colOff>428625</xdr:colOff>
      <xdr:row>38</xdr:row>
      <xdr:rowOff>57150</xdr:rowOff>
    </xdr:to>
    <xdr:sp macro="" textlink="">
      <xdr:nvSpPr>
        <xdr:cNvPr id="5" name="Double Bracket 4"/>
        <xdr:cNvSpPr/>
      </xdr:nvSpPr>
      <xdr:spPr>
        <a:xfrm>
          <a:off x="209550" y="7010400"/>
          <a:ext cx="1028700" cy="285750"/>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295275</xdr:colOff>
      <xdr:row>36</xdr:row>
      <xdr:rowOff>161925</xdr:rowOff>
    </xdr:from>
    <xdr:to>
      <xdr:col>4</xdr:col>
      <xdr:colOff>609600</xdr:colOff>
      <xdr:row>38</xdr:row>
      <xdr:rowOff>28575</xdr:rowOff>
    </xdr:to>
    <xdr:sp macro="" textlink="">
      <xdr:nvSpPr>
        <xdr:cNvPr id="6" name="Double Bracket 5"/>
        <xdr:cNvSpPr/>
      </xdr:nvSpPr>
      <xdr:spPr>
        <a:xfrm>
          <a:off x="1790700" y="7019925"/>
          <a:ext cx="1085850" cy="24765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85725</xdr:colOff>
      <xdr:row>38</xdr:row>
      <xdr:rowOff>9525</xdr:rowOff>
    </xdr:from>
    <xdr:to>
      <xdr:col>6</xdr:col>
      <xdr:colOff>647700</xdr:colOff>
      <xdr:row>40</xdr:row>
      <xdr:rowOff>9525</xdr:rowOff>
    </xdr:to>
    <xdr:sp macro="" textlink="">
      <xdr:nvSpPr>
        <xdr:cNvPr id="7" name="Double Bracket 6"/>
        <xdr:cNvSpPr/>
      </xdr:nvSpPr>
      <xdr:spPr>
        <a:xfrm>
          <a:off x="2952750" y="7248525"/>
          <a:ext cx="561975" cy="4000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95250</xdr:colOff>
      <xdr:row>56</xdr:row>
      <xdr:rowOff>9525</xdr:rowOff>
    </xdr:from>
    <xdr:to>
      <xdr:col>6</xdr:col>
      <xdr:colOff>609600</xdr:colOff>
      <xdr:row>57</xdr:row>
      <xdr:rowOff>171450</xdr:rowOff>
    </xdr:to>
    <xdr:sp macro="" textlink="">
      <xdr:nvSpPr>
        <xdr:cNvPr id="8" name="Double Brace 7"/>
        <xdr:cNvSpPr/>
      </xdr:nvSpPr>
      <xdr:spPr>
        <a:xfrm>
          <a:off x="2962275" y="10772775"/>
          <a:ext cx="514350" cy="352425"/>
        </a:xfrm>
        <a:prstGeom prst="bracePair">
          <a:avLst/>
        </a:prstGeom>
        <a:ln w="95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304800</xdr:colOff>
      <xdr:row>56</xdr:row>
      <xdr:rowOff>0</xdr:rowOff>
    </xdr:from>
    <xdr:to>
      <xdr:col>7</xdr:col>
      <xdr:colOff>619125</xdr:colOff>
      <xdr:row>58</xdr:row>
      <xdr:rowOff>9525</xdr:rowOff>
    </xdr:to>
    <xdr:sp macro="" textlink="">
      <xdr:nvSpPr>
        <xdr:cNvPr id="9" name="Double Bracket 8"/>
        <xdr:cNvSpPr/>
      </xdr:nvSpPr>
      <xdr:spPr>
        <a:xfrm>
          <a:off x="1114425" y="10763250"/>
          <a:ext cx="3067050" cy="390525"/>
        </a:xfrm>
        <a:prstGeom prst="bracket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38100</xdr:colOff>
      <xdr:row>56</xdr:row>
      <xdr:rowOff>28575</xdr:rowOff>
    </xdr:from>
    <xdr:to>
      <xdr:col>4</xdr:col>
      <xdr:colOff>666750</xdr:colOff>
      <xdr:row>57</xdr:row>
      <xdr:rowOff>142875</xdr:rowOff>
    </xdr:to>
    <xdr:sp macro="" textlink="">
      <xdr:nvSpPr>
        <xdr:cNvPr id="10" name="Double Brace 9"/>
        <xdr:cNvSpPr/>
      </xdr:nvSpPr>
      <xdr:spPr>
        <a:xfrm>
          <a:off x="1457325" y="10791825"/>
          <a:ext cx="1238250" cy="3048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8</xdr:col>
      <xdr:colOff>476250</xdr:colOff>
      <xdr:row>29</xdr:row>
      <xdr:rowOff>28575</xdr:rowOff>
    </xdr:from>
    <xdr:to>
      <xdr:col>9</xdr:col>
      <xdr:colOff>333375</xdr:colOff>
      <xdr:row>30</xdr:row>
      <xdr:rowOff>161925</xdr:rowOff>
    </xdr:to>
    <xdr:sp macro="" textlink="">
      <xdr:nvSpPr>
        <xdr:cNvPr id="11" name="Double Brace 10"/>
        <xdr:cNvSpPr/>
      </xdr:nvSpPr>
      <xdr:spPr>
        <a:xfrm>
          <a:off x="4895850" y="5553075"/>
          <a:ext cx="504825" cy="32385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123825</xdr:colOff>
      <xdr:row>74</xdr:row>
      <xdr:rowOff>66675</xdr:rowOff>
    </xdr:from>
    <xdr:to>
      <xdr:col>6</xdr:col>
      <xdr:colOff>600075</xdr:colOff>
      <xdr:row>76</xdr:row>
      <xdr:rowOff>19050</xdr:rowOff>
    </xdr:to>
    <xdr:sp macro="" textlink="">
      <xdr:nvSpPr>
        <xdr:cNvPr id="12" name="Double Brace 11"/>
        <xdr:cNvSpPr/>
      </xdr:nvSpPr>
      <xdr:spPr>
        <a:xfrm>
          <a:off x="3295650" y="14258925"/>
          <a:ext cx="476250" cy="333375"/>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47625</xdr:colOff>
      <xdr:row>74</xdr:row>
      <xdr:rowOff>28575</xdr:rowOff>
    </xdr:from>
    <xdr:to>
      <xdr:col>8</xdr:col>
      <xdr:colOff>0</xdr:colOff>
      <xdr:row>76</xdr:row>
      <xdr:rowOff>38100</xdr:rowOff>
    </xdr:to>
    <xdr:sp macro="" textlink="">
      <xdr:nvSpPr>
        <xdr:cNvPr id="13" name="Double Bracket 12"/>
        <xdr:cNvSpPr/>
      </xdr:nvSpPr>
      <xdr:spPr>
        <a:xfrm>
          <a:off x="3219450" y="14220825"/>
          <a:ext cx="1285875" cy="3905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95250</xdr:colOff>
      <xdr:row>81</xdr:row>
      <xdr:rowOff>9525</xdr:rowOff>
    </xdr:from>
    <xdr:to>
      <xdr:col>6</xdr:col>
      <xdr:colOff>161925</xdr:colOff>
      <xdr:row>82</xdr:row>
      <xdr:rowOff>66675</xdr:rowOff>
    </xdr:to>
    <xdr:cxnSp macro="">
      <xdr:nvCxnSpPr>
        <xdr:cNvPr id="16" name="Straight Connector 15"/>
        <xdr:cNvCxnSpPr/>
      </xdr:nvCxnSpPr>
      <xdr:spPr>
        <a:xfrm flipH="1">
          <a:off x="3276600" y="15535275"/>
          <a:ext cx="66675" cy="247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152400</xdr:colOff>
      <xdr:row>81</xdr:row>
      <xdr:rowOff>9525</xdr:rowOff>
    </xdr:from>
    <xdr:to>
      <xdr:col>7</xdr:col>
      <xdr:colOff>247650</xdr:colOff>
      <xdr:row>81</xdr:row>
      <xdr:rowOff>9525</xdr:rowOff>
    </xdr:to>
    <xdr:cxnSp macro="">
      <xdr:nvCxnSpPr>
        <xdr:cNvPr id="18" name="Straight Connector 17"/>
        <xdr:cNvCxnSpPr/>
      </xdr:nvCxnSpPr>
      <xdr:spPr>
        <a:xfrm>
          <a:off x="3333750" y="15535275"/>
          <a:ext cx="7048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28575</xdr:colOff>
      <xdr:row>81</xdr:row>
      <xdr:rowOff>66675</xdr:rowOff>
    </xdr:from>
    <xdr:to>
      <xdr:col>6</xdr:col>
      <xdr:colOff>104775</xdr:colOff>
      <xdr:row>82</xdr:row>
      <xdr:rowOff>59055</xdr:rowOff>
    </xdr:to>
    <xdr:cxnSp macro="">
      <xdr:nvCxnSpPr>
        <xdr:cNvPr id="20" name="Straight Connector 19"/>
        <xdr:cNvCxnSpPr/>
      </xdr:nvCxnSpPr>
      <xdr:spPr>
        <a:xfrm>
          <a:off x="3209925" y="15592425"/>
          <a:ext cx="76200" cy="1828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142875</xdr:colOff>
      <xdr:row>85</xdr:row>
      <xdr:rowOff>9525</xdr:rowOff>
    </xdr:from>
    <xdr:to>
      <xdr:col>7</xdr:col>
      <xdr:colOff>428625</xdr:colOff>
      <xdr:row>86</xdr:row>
      <xdr:rowOff>180975</xdr:rowOff>
    </xdr:to>
    <xdr:sp macro="" textlink="">
      <xdr:nvSpPr>
        <xdr:cNvPr id="22" name="Double Bracket 21"/>
        <xdr:cNvSpPr/>
      </xdr:nvSpPr>
      <xdr:spPr>
        <a:xfrm>
          <a:off x="3238500" y="16297275"/>
          <a:ext cx="895350" cy="3619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152400</xdr:colOff>
      <xdr:row>87</xdr:row>
      <xdr:rowOff>0</xdr:rowOff>
    </xdr:from>
    <xdr:to>
      <xdr:col>6</xdr:col>
      <xdr:colOff>209550</xdr:colOff>
      <xdr:row>88</xdr:row>
      <xdr:rowOff>95250</xdr:rowOff>
    </xdr:to>
    <xdr:cxnSp macro="">
      <xdr:nvCxnSpPr>
        <xdr:cNvPr id="24" name="Straight Connector 23"/>
        <xdr:cNvCxnSpPr/>
      </xdr:nvCxnSpPr>
      <xdr:spPr>
        <a:xfrm flipH="1">
          <a:off x="3333750" y="16668750"/>
          <a:ext cx="57150" cy="285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xdr:colOff>
      <xdr:row>87</xdr:row>
      <xdr:rowOff>104775</xdr:rowOff>
    </xdr:from>
    <xdr:to>
      <xdr:col>6</xdr:col>
      <xdr:colOff>142875</xdr:colOff>
      <xdr:row>88</xdr:row>
      <xdr:rowOff>95250</xdr:rowOff>
    </xdr:to>
    <xdr:cxnSp macro="">
      <xdr:nvCxnSpPr>
        <xdr:cNvPr id="26" name="Straight Connector 25"/>
        <xdr:cNvCxnSpPr/>
      </xdr:nvCxnSpPr>
      <xdr:spPr>
        <a:xfrm>
          <a:off x="3228975" y="16773525"/>
          <a:ext cx="95250"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200025</xdr:colOff>
      <xdr:row>87</xdr:row>
      <xdr:rowOff>0</xdr:rowOff>
    </xdr:from>
    <xdr:to>
      <xdr:col>7</xdr:col>
      <xdr:colOff>53340</xdr:colOff>
      <xdr:row>87</xdr:row>
      <xdr:rowOff>0</xdr:rowOff>
    </xdr:to>
    <xdr:cxnSp macro="">
      <xdr:nvCxnSpPr>
        <xdr:cNvPr id="28" name="Straight Connector 27"/>
        <xdr:cNvCxnSpPr/>
      </xdr:nvCxnSpPr>
      <xdr:spPr>
        <a:xfrm>
          <a:off x="3381375" y="16668750"/>
          <a:ext cx="46291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514350</xdr:colOff>
      <xdr:row>91</xdr:row>
      <xdr:rowOff>133350</xdr:rowOff>
    </xdr:from>
    <xdr:to>
      <xdr:col>8</xdr:col>
      <xdr:colOff>447675</xdr:colOff>
      <xdr:row>93</xdr:row>
      <xdr:rowOff>114300</xdr:rowOff>
    </xdr:to>
    <xdr:sp macro="" textlink="">
      <xdr:nvSpPr>
        <xdr:cNvPr id="14" name="Double Brace 13"/>
        <xdr:cNvSpPr/>
      </xdr:nvSpPr>
      <xdr:spPr>
        <a:xfrm>
          <a:off x="2009775" y="17564100"/>
          <a:ext cx="2867025" cy="361950"/>
        </a:xfrm>
        <a:prstGeom prst="brace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200026</xdr:colOff>
      <xdr:row>93</xdr:row>
      <xdr:rowOff>171449</xdr:rowOff>
    </xdr:from>
    <xdr:to>
      <xdr:col>6</xdr:col>
      <xdr:colOff>504826</xdr:colOff>
      <xdr:row>95</xdr:row>
      <xdr:rowOff>142874</xdr:rowOff>
    </xdr:to>
    <xdr:sp macro="" textlink="">
      <xdr:nvSpPr>
        <xdr:cNvPr id="17" name="Double Bracket 16"/>
        <xdr:cNvSpPr/>
      </xdr:nvSpPr>
      <xdr:spPr>
        <a:xfrm>
          <a:off x="1695451" y="17983199"/>
          <a:ext cx="1905000" cy="352425"/>
        </a:xfrm>
        <a:prstGeom prst="bracketPair">
          <a:avLst/>
        </a:prstGeom>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57150</xdr:colOff>
      <xdr:row>100</xdr:row>
      <xdr:rowOff>19050</xdr:rowOff>
    </xdr:from>
    <xdr:to>
      <xdr:col>6</xdr:col>
      <xdr:colOff>638175</xdr:colOff>
      <xdr:row>101</xdr:row>
      <xdr:rowOff>171450</xdr:rowOff>
    </xdr:to>
    <xdr:sp macro="" textlink="">
      <xdr:nvSpPr>
        <xdr:cNvPr id="19" name="Double Brace 18"/>
        <xdr:cNvSpPr/>
      </xdr:nvSpPr>
      <xdr:spPr>
        <a:xfrm>
          <a:off x="3238500" y="19164300"/>
          <a:ext cx="581025" cy="3429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152400</xdr:colOff>
      <xdr:row>102</xdr:row>
      <xdr:rowOff>19050</xdr:rowOff>
    </xdr:from>
    <xdr:to>
      <xdr:col>7</xdr:col>
      <xdr:colOff>371475</xdr:colOff>
      <xdr:row>103</xdr:row>
      <xdr:rowOff>152400</xdr:rowOff>
    </xdr:to>
    <xdr:sp macro="" textlink="">
      <xdr:nvSpPr>
        <xdr:cNvPr id="21" name="Double Bracket 20"/>
        <xdr:cNvSpPr/>
      </xdr:nvSpPr>
      <xdr:spPr>
        <a:xfrm>
          <a:off x="3248025" y="19545300"/>
          <a:ext cx="828675" cy="3238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104775</xdr:colOff>
      <xdr:row>112</xdr:row>
      <xdr:rowOff>180975</xdr:rowOff>
    </xdr:from>
    <xdr:to>
      <xdr:col>6</xdr:col>
      <xdr:colOff>561975</xdr:colOff>
      <xdr:row>114</xdr:row>
      <xdr:rowOff>180975</xdr:rowOff>
    </xdr:to>
    <xdr:sp macro="" textlink="">
      <xdr:nvSpPr>
        <xdr:cNvPr id="23" name="Double Brace 22"/>
        <xdr:cNvSpPr/>
      </xdr:nvSpPr>
      <xdr:spPr>
        <a:xfrm>
          <a:off x="3286125" y="21421725"/>
          <a:ext cx="457200" cy="381000"/>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104775</xdr:colOff>
          <xdr:row>118</xdr:row>
          <xdr:rowOff>0</xdr:rowOff>
        </xdr:from>
        <xdr:to>
          <xdr:col>6</xdr:col>
          <xdr:colOff>409575</xdr:colOff>
          <xdr:row>119</xdr:row>
          <xdr:rowOff>152400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twoCellAnchor>
    <xdr:from>
      <xdr:col>6</xdr:col>
      <xdr:colOff>38100</xdr:colOff>
      <xdr:row>121</xdr:row>
      <xdr:rowOff>57150</xdr:rowOff>
    </xdr:from>
    <xdr:to>
      <xdr:col>7</xdr:col>
      <xdr:colOff>276225</xdr:colOff>
      <xdr:row>122</xdr:row>
      <xdr:rowOff>180975</xdr:rowOff>
    </xdr:to>
    <xdr:sp macro="" textlink="">
      <xdr:nvSpPr>
        <xdr:cNvPr id="29" name="Double Bracket 28"/>
        <xdr:cNvSpPr/>
      </xdr:nvSpPr>
      <xdr:spPr>
        <a:xfrm>
          <a:off x="3133725" y="23031450"/>
          <a:ext cx="847725" cy="333375"/>
        </a:xfrm>
        <a:prstGeom prst="bracket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428625</xdr:colOff>
      <xdr:row>85</xdr:row>
      <xdr:rowOff>66675</xdr:rowOff>
    </xdr:from>
    <xdr:to>
      <xdr:col>6</xdr:col>
      <xdr:colOff>590550</xdr:colOff>
      <xdr:row>86</xdr:row>
      <xdr:rowOff>57150</xdr:rowOff>
    </xdr:to>
    <xdr:sp macro="" textlink="">
      <xdr:nvSpPr>
        <xdr:cNvPr id="30" name="Multiply 29"/>
        <xdr:cNvSpPr/>
      </xdr:nvSpPr>
      <xdr:spPr>
        <a:xfrm>
          <a:off x="3524250" y="16354425"/>
          <a:ext cx="161925" cy="180975"/>
        </a:xfrm>
        <a:prstGeom prst="mathMultiply">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38100</xdr:colOff>
      <xdr:row>115</xdr:row>
      <xdr:rowOff>9525</xdr:rowOff>
    </xdr:from>
    <xdr:to>
      <xdr:col>6</xdr:col>
      <xdr:colOff>571500</xdr:colOff>
      <xdr:row>116</xdr:row>
      <xdr:rowOff>171450</xdr:rowOff>
    </xdr:to>
    <xdr:sp macro="" textlink="">
      <xdr:nvSpPr>
        <xdr:cNvPr id="31" name="Double Brace 30"/>
        <xdr:cNvSpPr/>
      </xdr:nvSpPr>
      <xdr:spPr>
        <a:xfrm>
          <a:off x="3133725" y="21821775"/>
          <a:ext cx="533400" cy="352425"/>
        </a:xfrm>
        <a:prstGeom prst="brace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85725</xdr:colOff>
      <xdr:row>27</xdr:row>
      <xdr:rowOff>0</xdr:rowOff>
    </xdr:from>
    <xdr:to>
      <xdr:col>4</xdr:col>
      <xdr:colOff>152400</xdr:colOff>
      <xdr:row>28</xdr:row>
      <xdr:rowOff>38100</xdr:rowOff>
    </xdr:to>
    <xdr:cxnSp macro="">
      <xdr:nvCxnSpPr>
        <xdr:cNvPr id="3" name="Straight Connector 2"/>
        <xdr:cNvCxnSpPr/>
      </xdr:nvCxnSpPr>
      <xdr:spPr>
        <a:xfrm flipH="1">
          <a:off x="2219325" y="5143500"/>
          <a:ext cx="66675" cy="228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152400</xdr:colOff>
      <xdr:row>26</xdr:row>
      <xdr:rowOff>180975</xdr:rowOff>
    </xdr:from>
    <xdr:to>
      <xdr:col>5</xdr:col>
      <xdr:colOff>228600</xdr:colOff>
      <xdr:row>26</xdr:row>
      <xdr:rowOff>180975</xdr:rowOff>
    </xdr:to>
    <xdr:cxnSp macro="">
      <xdr:nvCxnSpPr>
        <xdr:cNvPr id="5" name="Straight Connector 4"/>
        <xdr:cNvCxnSpPr/>
      </xdr:nvCxnSpPr>
      <xdr:spPr>
        <a:xfrm>
          <a:off x="2590800" y="5324475"/>
          <a:ext cx="6572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27</xdr:row>
      <xdr:rowOff>38100</xdr:rowOff>
    </xdr:from>
    <xdr:to>
      <xdr:col>4</xdr:col>
      <xdr:colOff>76200</xdr:colOff>
      <xdr:row>28</xdr:row>
      <xdr:rowOff>28575</xdr:rowOff>
    </xdr:to>
    <xdr:cxnSp macro="">
      <xdr:nvCxnSpPr>
        <xdr:cNvPr id="7" name="Straight Connector 6"/>
        <xdr:cNvCxnSpPr/>
      </xdr:nvCxnSpPr>
      <xdr:spPr>
        <a:xfrm>
          <a:off x="2133600" y="5181600"/>
          <a:ext cx="76200"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514350</xdr:colOff>
      <xdr:row>26</xdr:row>
      <xdr:rowOff>171450</xdr:rowOff>
    </xdr:from>
    <xdr:to>
      <xdr:col>5</xdr:col>
      <xdr:colOff>314325</xdr:colOff>
      <xdr:row>28</xdr:row>
      <xdr:rowOff>95250</xdr:rowOff>
    </xdr:to>
    <xdr:sp macro="" textlink="">
      <xdr:nvSpPr>
        <xdr:cNvPr id="2" name="Double Bracket 1"/>
        <xdr:cNvSpPr/>
      </xdr:nvSpPr>
      <xdr:spPr>
        <a:xfrm>
          <a:off x="2038350" y="5124450"/>
          <a:ext cx="1085850" cy="3048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142875</xdr:colOff>
          <xdr:row>22</xdr:row>
          <xdr:rowOff>133350</xdr:rowOff>
        </xdr:from>
        <xdr:to>
          <xdr:col>3</xdr:col>
          <xdr:colOff>514350</xdr:colOff>
          <xdr:row>25</xdr:row>
          <xdr:rowOff>9525</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4</xdr:col>
      <xdr:colOff>9525</xdr:colOff>
      <xdr:row>23</xdr:row>
      <xdr:rowOff>0</xdr:rowOff>
    </xdr:from>
    <xdr:to>
      <xdr:col>4</xdr:col>
      <xdr:colOff>76200</xdr:colOff>
      <xdr:row>24</xdr:row>
      <xdr:rowOff>142875</xdr:rowOff>
    </xdr:to>
    <xdr:cxnSp macro="">
      <xdr:nvCxnSpPr>
        <xdr:cNvPr id="3" name="Straight Connector 2"/>
        <xdr:cNvCxnSpPr/>
      </xdr:nvCxnSpPr>
      <xdr:spPr>
        <a:xfrm flipH="1">
          <a:off x="2352675" y="4381500"/>
          <a:ext cx="66675" cy="3333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22</xdr:row>
      <xdr:rowOff>180975</xdr:rowOff>
    </xdr:from>
    <xdr:to>
      <xdr:col>5</xdr:col>
      <xdr:colOff>47625</xdr:colOff>
      <xdr:row>22</xdr:row>
      <xdr:rowOff>180975</xdr:rowOff>
    </xdr:to>
    <xdr:cxnSp macro="">
      <xdr:nvCxnSpPr>
        <xdr:cNvPr id="5" name="Straight Connector 4"/>
        <xdr:cNvCxnSpPr/>
      </xdr:nvCxnSpPr>
      <xdr:spPr>
        <a:xfrm>
          <a:off x="2371725" y="4562475"/>
          <a:ext cx="6762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714375</xdr:colOff>
      <xdr:row>23</xdr:row>
      <xdr:rowOff>133350</xdr:rowOff>
    </xdr:from>
    <xdr:to>
      <xdr:col>4</xdr:col>
      <xdr:colOff>9525</xdr:colOff>
      <xdr:row>24</xdr:row>
      <xdr:rowOff>142875</xdr:rowOff>
    </xdr:to>
    <xdr:cxnSp macro="">
      <xdr:nvCxnSpPr>
        <xdr:cNvPr id="7" name="Straight Connector 6"/>
        <xdr:cNvCxnSpPr/>
      </xdr:nvCxnSpPr>
      <xdr:spPr>
        <a:xfrm>
          <a:off x="2305050" y="4514850"/>
          <a:ext cx="47625"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xdr:col>
          <xdr:colOff>85725</xdr:colOff>
          <xdr:row>42</xdr:row>
          <xdr:rowOff>152400</xdr:rowOff>
        </xdr:from>
        <xdr:to>
          <xdr:col>3</xdr:col>
          <xdr:colOff>704850</xdr:colOff>
          <xdr:row>45</xdr:row>
          <xdr:rowOff>0</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53</xdr:row>
          <xdr:rowOff>171450</xdr:rowOff>
        </xdr:from>
        <xdr:to>
          <xdr:col>4</xdr:col>
          <xdr:colOff>695325</xdr:colOff>
          <xdr:row>55</xdr:row>
          <xdr:rowOff>171450</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xdr:twoCellAnchor>
    <xdr:from>
      <xdr:col>4</xdr:col>
      <xdr:colOff>19050</xdr:colOff>
      <xdr:row>56</xdr:row>
      <xdr:rowOff>0</xdr:rowOff>
    </xdr:from>
    <xdr:to>
      <xdr:col>4</xdr:col>
      <xdr:colOff>95250</xdr:colOff>
      <xdr:row>57</xdr:row>
      <xdr:rowOff>133350</xdr:rowOff>
    </xdr:to>
    <xdr:cxnSp macro="">
      <xdr:nvCxnSpPr>
        <xdr:cNvPr id="9" name="Straight Connector 8"/>
        <xdr:cNvCxnSpPr/>
      </xdr:nvCxnSpPr>
      <xdr:spPr>
        <a:xfrm flipH="1">
          <a:off x="2362200" y="10896600"/>
          <a:ext cx="76200" cy="3238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95250</xdr:colOff>
      <xdr:row>55</xdr:row>
      <xdr:rowOff>180975</xdr:rowOff>
    </xdr:from>
    <xdr:to>
      <xdr:col>6</xdr:col>
      <xdr:colOff>38100</xdr:colOff>
      <xdr:row>55</xdr:row>
      <xdr:rowOff>180975</xdr:rowOff>
    </xdr:to>
    <xdr:cxnSp macro="">
      <xdr:nvCxnSpPr>
        <xdr:cNvPr id="11" name="Straight Connector 10"/>
        <xdr:cNvCxnSpPr/>
      </xdr:nvCxnSpPr>
      <xdr:spPr>
        <a:xfrm>
          <a:off x="2438400" y="10887075"/>
          <a:ext cx="990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676275</xdr:colOff>
      <xdr:row>56</xdr:row>
      <xdr:rowOff>85725</xdr:rowOff>
    </xdr:from>
    <xdr:to>
      <xdr:col>4</xdr:col>
      <xdr:colOff>19050</xdr:colOff>
      <xdr:row>57</xdr:row>
      <xdr:rowOff>133350</xdr:rowOff>
    </xdr:to>
    <xdr:cxnSp macro="">
      <xdr:nvCxnSpPr>
        <xdr:cNvPr id="13" name="Straight Connector 12"/>
        <xdr:cNvCxnSpPr/>
      </xdr:nvCxnSpPr>
      <xdr:spPr>
        <a:xfrm>
          <a:off x="2266950" y="10982325"/>
          <a:ext cx="95250" cy="238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10</xdr:col>
      <xdr:colOff>190500</xdr:colOff>
      <xdr:row>49</xdr:row>
      <xdr:rowOff>90487</xdr:rowOff>
    </xdr:from>
    <xdr:ext cx="914400" cy="266355"/>
    <mc:AlternateContent xmlns:mc="http://schemas.openxmlformats.org/markup-compatibility/2006" xmlns:a14="http://schemas.microsoft.com/office/drawing/2010/main">
      <mc:Choice Requires="a14">
        <xdr:sp macro="" textlink="">
          <xdr:nvSpPr>
            <xdr:cNvPr id="14" name="TextBox 13"/>
            <xdr:cNvSpPr txBox="1"/>
          </xdr:nvSpPr>
          <xdr:spPr>
            <a:xfrm>
              <a:off x="5953125" y="9615487"/>
              <a:ext cx="914400" cy="2663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r>
                      <a:rPr lang="en-US" sz="1100" i="1">
                        <a:latin typeface="Cambria Math"/>
                      </a:rPr>
                      <m:t>²²</m:t>
                    </m:r>
                  </m:oMath>
                </m:oMathPara>
              </a14:m>
              <a:endParaRPr lang="en-US" sz="1100"/>
            </a:p>
          </xdr:txBody>
        </xdr:sp>
      </mc:Choice>
      <mc:Fallback xmlns="">
        <xdr:sp macro="" textlink="">
          <xdr:nvSpPr>
            <xdr:cNvPr id="14" name="TextBox 13"/>
            <xdr:cNvSpPr txBox="1"/>
          </xdr:nvSpPr>
          <xdr:spPr>
            <a:xfrm>
              <a:off x="5953125" y="9615487"/>
              <a:ext cx="914400" cy="2663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sz="1100" i="0">
                  <a:latin typeface="Cambria Math"/>
                </a:rPr>
                <a:t>²²</a:t>
              </a:r>
              <a:endParaRPr lang="en-US" sz="1100"/>
            </a:p>
          </xdr:txBody>
        </xdr:sp>
      </mc:Fallback>
    </mc:AlternateContent>
    <xdr:clientData/>
  </xdr:oneCellAnchor>
  <xdr:twoCellAnchor>
    <xdr:from>
      <xdr:col>2</xdr:col>
      <xdr:colOff>0</xdr:colOff>
      <xdr:row>62</xdr:row>
      <xdr:rowOff>0</xdr:rowOff>
    </xdr:from>
    <xdr:to>
      <xdr:col>7</xdr:col>
      <xdr:colOff>0</xdr:colOff>
      <xdr:row>62</xdr:row>
      <xdr:rowOff>0</xdr:rowOff>
    </xdr:to>
    <xdr:cxnSp macro="">
      <xdr:nvCxnSpPr>
        <xdr:cNvPr id="16" name="Straight Connector 15"/>
        <xdr:cNvCxnSpPr/>
      </xdr:nvCxnSpPr>
      <xdr:spPr>
        <a:xfrm flipV="1">
          <a:off x="885825" y="12039600"/>
          <a:ext cx="32861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62</xdr:row>
      <xdr:rowOff>0</xdr:rowOff>
    </xdr:from>
    <xdr:to>
      <xdr:col>2</xdr:col>
      <xdr:colOff>0</xdr:colOff>
      <xdr:row>62</xdr:row>
      <xdr:rowOff>123825</xdr:rowOff>
    </xdr:to>
    <xdr:cxnSp macro="">
      <xdr:nvCxnSpPr>
        <xdr:cNvPr id="18" name="Straight Connector 17"/>
        <xdr:cNvCxnSpPr/>
      </xdr:nvCxnSpPr>
      <xdr:spPr>
        <a:xfrm>
          <a:off x="885825" y="11849100"/>
          <a:ext cx="0" cy="1238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62</xdr:row>
      <xdr:rowOff>0</xdr:rowOff>
    </xdr:from>
    <xdr:to>
      <xdr:col>7</xdr:col>
      <xdr:colOff>0</xdr:colOff>
      <xdr:row>62</xdr:row>
      <xdr:rowOff>123825</xdr:rowOff>
    </xdr:to>
    <xdr:cxnSp macro="">
      <xdr:nvCxnSpPr>
        <xdr:cNvPr id="22" name="Straight Connector 21"/>
        <xdr:cNvCxnSpPr/>
      </xdr:nvCxnSpPr>
      <xdr:spPr>
        <a:xfrm>
          <a:off x="4171950" y="11849100"/>
          <a:ext cx="0" cy="1238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62</xdr:row>
      <xdr:rowOff>133350</xdr:rowOff>
    </xdr:from>
    <xdr:to>
      <xdr:col>2</xdr:col>
      <xdr:colOff>523875</xdr:colOff>
      <xdr:row>62</xdr:row>
      <xdr:rowOff>133350</xdr:rowOff>
    </xdr:to>
    <xdr:cxnSp macro="">
      <xdr:nvCxnSpPr>
        <xdr:cNvPr id="20" name="Straight Connector 19"/>
        <xdr:cNvCxnSpPr/>
      </xdr:nvCxnSpPr>
      <xdr:spPr>
        <a:xfrm>
          <a:off x="885825" y="11982450"/>
          <a:ext cx="5238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257175</xdr:colOff>
      <xdr:row>62</xdr:row>
      <xdr:rowOff>123825</xdr:rowOff>
    </xdr:from>
    <xdr:to>
      <xdr:col>7</xdr:col>
      <xdr:colOff>0</xdr:colOff>
      <xdr:row>62</xdr:row>
      <xdr:rowOff>123825</xdr:rowOff>
    </xdr:to>
    <xdr:cxnSp macro="">
      <xdr:nvCxnSpPr>
        <xdr:cNvPr id="25" name="Straight Connector 24"/>
        <xdr:cNvCxnSpPr/>
      </xdr:nvCxnSpPr>
      <xdr:spPr>
        <a:xfrm>
          <a:off x="3648075" y="11972925"/>
          <a:ext cx="5238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523875</xdr:colOff>
      <xdr:row>62</xdr:row>
      <xdr:rowOff>142875</xdr:rowOff>
    </xdr:from>
    <xdr:to>
      <xdr:col>2</xdr:col>
      <xdr:colOff>523875</xdr:colOff>
      <xdr:row>70</xdr:row>
      <xdr:rowOff>19050</xdr:rowOff>
    </xdr:to>
    <xdr:cxnSp macro="">
      <xdr:nvCxnSpPr>
        <xdr:cNvPr id="23" name="Straight Connector 22"/>
        <xdr:cNvCxnSpPr/>
      </xdr:nvCxnSpPr>
      <xdr:spPr>
        <a:xfrm flipH="1">
          <a:off x="1409700" y="11991975"/>
          <a:ext cx="0" cy="1400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685800</xdr:colOff>
      <xdr:row>62</xdr:row>
      <xdr:rowOff>133350</xdr:rowOff>
    </xdr:from>
    <xdr:to>
      <xdr:col>6</xdr:col>
      <xdr:colOff>100965</xdr:colOff>
      <xdr:row>62</xdr:row>
      <xdr:rowOff>133350</xdr:rowOff>
    </xdr:to>
    <xdr:cxnSp macro="">
      <xdr:nvCxnSpPr>
        <xdr:cNvPr id="26" name="Straight Connector 25"/>
        <xdr:cNvCxnSpPr/>
      </xdr:nvCxnSpPr>
      <xdr:spPr>
        <a:xfrm>
          <a:off x="1571625" y="11982450"/>
          <a:ext cx="192024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247650</xdr:colOff>
      <xdr:row>62</xdr:row>
      <xdr:rowOff>123824</xdr:rowOff>
    </xdr:from>
    <xdr:to>
      <xdr:col>6</xdr:col>
      <xdr:colOff>247650</xdr:colOff>
      <xdr:row>76</xdr:row>
      <xdr:rowOff>108584</xdr:rowOff>
    </xdr:to>
    <xdr:cxnSp macro="">
      <xdr:nvCxnSpPr>
        <xdr:cNvPr id="30" name="Straight Connector 29"/>
        <xdr:cNvCxnSpPr/>
      </xdr:nvCxnSpPr>
      <xdr:spPr>
        <a:xfrm flipH="1">
          <a:off x="3638550" y="11972924"/>
          <a:ext cx="0" cy="2651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676275</xdr:colOff>
      <xdr:row>62</xdr:row>
      <xdr:rowOff>133350</xdr:rowOff>
    </xdr:from>
    <xdr:to>
      <xdr:col>2</xdr:col>
      <xdr:colOff>676275</xdr:colOff>
      <xdr:row>70</xdr:row>
      <xdr:rowOff>9525</xdr:rowOff>
    </xdr:to>
    <xdr:cxnSp macro="">
      <xdr:nvCxnSpPr>
        <xdr:cNvPr id="31" name="Straight Connector 30"/>
        <xdr:cNvCxnSpPr/>
      </xdr:nvCxnSpPr>
      <xdr:spPr>
        <a:xfrm flipH="1">
          <a:off x="1562100" y="11982450"/>
          <a:ext cx="0" cy="1400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62</xdr:row>
      <xdr:rowOff>123824</xdr:rowOff>
    </xdr:from>
    <xdr:to>
      <xdr:col>6</xdr:col>
      <xdr:colOff>95250</xdr:colOff>
      <xdr:row>76</xdr:row>
      <xdr:rowOff>108584</xdr:rowOff>
    </xdr:to>
    <xdr:cxnSp macro="">
      <xdr:nvCxnSpPr>
        <xdr:cNvPr id="32" name="Straight Connector 31"/>
        <xdr:cNvCxnSpPr/>
      </xdr:nvCxnSpPr>
      <xdr:spPr>
        <a:xfrm flipH="1">
          <a:off x="3486150" y="11972924"/>
          <a:ext cx="0" cy="2651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457200</xdr:colOff>
      <xdr:row>70</xdr:row>
      <xdr:rowOff>0</xdr:rowOff>
    </xdr:from>
    <xdr:to>
      <xdr:col>3</xdr:col>
      <xdr:colOff>316230</xdr:colOff>
      <xdr:row>70</xdr:row>
      <xdr:rowOff>0</xdr:rowOff>
    </xdr:to>
    <xdr:cxnSp macro="">
      <xdr:nvCxnSpPr>
        <xdr:cNvPr id="28" name="Straight Connector 27"/>
        <xdr:cNvCxnSpPr/>
      </xdr:nvCxnSpPr>
      <xdr:spPr>
        <a:xfrm>
          <a:off x="638175" y="13563600"/>
          <a:ext cx="126873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71</xdr:row>
      <xdr:rowOff>0</xdr:rowOff>
    </xdr:from>
    <xdr:to>
      <xdr:col>3</xdr:col>
      <xdr:colOff>308610</xdr:colOff>
      <xdr:row>71</xdr:row>
      <xdr:rowOff>0</xdr:rowOff>
    </xdr:to>
    <xdr:cxnSp macro="">
      <xdr:nvCxnSpPr>
        <xdr:cNvPr id="35" name="Straight Connector 34"/>
        <xdr:cNvCxnSpPr/>
      </xdr:nvCxnSpPr>
      <xdr:spPr>
        <a:xfrm>
          <a:off x="447675" y="13754100"/>
          <a:ext cx="145161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161925</xdr:colOff>
      <xdr:row>61</xdr:row>
      <xdr:rowOff>0</xdr:rowOff>
    </xdr:from>
    <xdr:to>
      <xdr:col>3</xdr:col>
      <xdr:colOff>161925</xdr:colOff>
      <xdr:row>70</xdr:row>
      <xdr:rowOff>0</xdr:rowOff>
    </xdr:to>
    <xdr:cxnSp macro="">
      <xdr:nvCxnSpPr>
        <xdr:cNvPr id="42" name="Straight Connector 41"/>
        <xdr:cNvCxnSpPr/>
      </xdr:nvCxnSpPr>
      <xdr:spPr>
        <a:xfrm flipH="1" flipV="1">
          <a:off x="1752600" y="11849100"/>
          <a:ext cx="0"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66675</xdr:colOff>
      <xdr:row>61</xdr:row>
      <xdr:rowOff>0</xdr:rowOff>
    </xdr:from>
    <xdr:to>
      <xdr:col>3</xdr:col>
      <xdr:colOff>266700</xdr:colOff>
      <xdr:row>61</xdr:row>
      <xdr:rowOff>0</xdr:rowOff>
    </xdr:to>
    <xdr:cxnSp macro="">
      <xdr:nvCxnSpPr>
        <xdr:cNvPr id="44" name="Straight Connector 43"/>
        <xdr:cNvCxnSpPr/>
      </xdr:nvCxnSpPr>
      <xdr:spPr>
        <a:xfrm>
          <a:off x="1657350" y="11849100"/>
          <a:ext cx="2000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523875</xdr:colOff>
      <xdr:row>66</xdr:row>
      <xdr:rowOff>9524</xdr:rowOff>
    </xdr:from>
    <xdr:to>
      <xdr:col>2</xdr:col>
      <xdr:colOff>523875</xdr:colOff>
      <xdr:row>90</xdr:row>
      <xdr:rowOff>9524</xdr:rowOff>
    </xdr:to>
    <xdr:cxnSp macro="">
      <xdr:nvCxnSpPr>
        <xdr:cNvPr id="51" name="Straight Connector 50"/>
        <xdr:cNvCxnSpPr/>
      </xdr:nvCxnSpPr>
      <xdr:spPr>
        <a:xfrm>
          <a:off x="1409700" y="12811124"/>
          <a:ext cx="0" cy="457200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676275</xdr:colOff>
      <xdr:row>66</xdr:row>
      <xdr:rowOff>0</xdr:rowOff>
    </xdr:from>
    <xdr:to>
      <xdr:col>2</xdr:col>
      <xdr:colOff>676275</xdr:colOff>
      <xdr:row>90</xdr:row>
      <xdr:rowOff>0</xdr:rowOff>
    </xdr:to>
    <xdr:cxnSp macro="">
      <xdr:nvCxnSpPr>
        <xdr:cNvPr id="55" name="Straight Connector 54"/>
        <xdr:cNvCxnSpPr/>
      </xdr:nvCxnSpPr>
      <xdr:spPr>
        <a:xfrm>
          <a:off x="1562100" y="12801600"/>
          <a:ext cx="0" cy="457200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523875</xdr:colOff>
      <xdr:row>71</xdr:row>
      <xdr:rowOff>0</xdr:rowOff>
    </xdr:from>
    <xdr:to>
      <xdr:col>2</xdr:col>
      <xdr:colOff>523875</xdr:colOff>
      <xdr:row>73</xdr:row>
      <xdr:rowOff>167640</xdr:rowOff>
    </xdr:to>
    <xdr:cxnSp macro="">
      <xdr:nvCxnSpPr>
        <xdr:cNvPr id="53" name="Straight Connector 52"/>
        <xdr:cNvCxnSpPr/>
      </xdr:nvCxnSpPr>
      <xdr:spPr>
        <a:xfrm>
          <a:off x="1409700" y="13563600"/>
          <a:ext cx="0" cy="5486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676275</xdr:colOff>
      <xdr:row>71</xdr:row>
      <xdr:rowOff>19050</xdr:rowOff>
    </xdr:from>
    <xdr:to>
      <xdr:col>2</xdr:col>
      <xdr:colOff>676275</xdr:colOff>
      <xdr:row>73</xdr:row>
      <xdr:rowOff>186690</xdr:rowOff>
    </xdr:to>
    <xdr:cxnSp macro="">
      <xdr:nvCxnSpPr>
        <xdr:cNvPr id="58" name="Straight Connector 57"/>
        <xdr:cNvCxnSpPr/>
      </xdr:nvCxnSpPr>
      <xdr:spPr>
        <a:xfrm>
          <a:off x="1562100" y="13582650"/>
          <a:ext cx="0" cy="5486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476250</xdr:colOff>
      <xdr:row>74</xdr:row>
      <xdr:rowOff>0</xdr:rowOff>
    </xdr:from>
    <xdr:to>
      <xdr:col>3</xdr:col>
      <xdr:colOff>725805</xdr:colOff>
      <xdr:row>74</xdr:row>
      <xdr:rowOff>0</xdr:rowOff>
    </xdr:to>
    <xdr:cxnSp macro="">
      <xdr:nvCxnSpPr>
        <xdr:cNvPr id="59" name="Straight Connector 58"/>
        <xdr:cNvCxnSpPr/>
      </xdr:nvCxnSpPr>
      <xdr:spPr>
        <a:xfrm flipV="1">
          <a:off x="657225" y="14325600"/>
          <a:ext cx="165925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276225</xdr:colOff>
      <xdr:row>75</xdr:row>
      <xdr:rowOff>0</xdr:rowOff>
    </xdr:from>
    <xdr:to>
      <xdr:col>3</xdr:col>
      <xdr:colOff>718185</xdr:colOff>
      <xdr:row>75</xdr:row>
      <xdr:rowOff>0</xdr:rowOff>
    </xdr:to>
    <xdr:cxnSp macro="">
      <xdr:nvCxnSpPr>
        <xdr:cNvPr id="60" name="Straight Connector 59"/>
        <xdr:cNvCxnSpPr/>
      </xdr:nvCxnSpPr>
      <xdr:spPr>
        <a:xfrm>
          <a:off x="457200" y="14516100"/>
          <a:ext cx="185166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523875</xdr:colOff>
      <xdr:row>75</xdr:row>
      <xdr:rowOff>0</xdr:rowOff>
    </xdr:from>
    <xdr:to>
      <xdr:col>2</xdr:col>
      <xdr:colOff>523875</xdr:colOff>
      <xdr:row>78</xdr:row>
      <xdr:rowOff>9525</xdr:rowOff>
    </xdr:to>
    <xdr:cxnSp macro="">
      <xdr:nvCxnSpPr>
        <xdr:cNvPr id="63" name="Straight Connector 62"/>
        <xdr:cNvCxnSpPr/>
      </xdr:nvCxnSpPr>
      <xdr:spPr>
        <a:xfrm>
          <a:off x="1409700" y="14325600"/>
          <a:ext cx="0" cy="581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676275</xdr:colOff>
      <xdr:row>75</xdr:row>
      <xdr:rowOff>9525</xdr:rowOff>
    </xdr:from>
    <xdr:to>
      <xdr:col>2</xdr:col>
      <xdr:colOff>676275</xdr:colOff>
      <xdr:row>77</xdr:row>
      <xdr:rowOff>177165</xdr:rowOff>
    </xdr:to>
    <xdr:cxnSp macro="">
      <xdr:nvCxnSpPr>
        <xdr:cNvPr id="64" name="Straight Connector 63"/>
        <xdr:cNvCxnSpPr/>
      </xdr:nvCxnSpPr>
      <xdr:spPr>
        <a:xfrm>
          <a:off x="1562100" y="14335125"/>
          <a:ext cx="0" cy="5486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78</xdr:row>
      <xdr:rowOff>9525</xdr:rowOff>
    </xdr:from>
    <xdr:to>
      <xdr:col>2</xdr:col>
      <xdr:colOff>0</xdr:colOff>
      <xdr:row>78</xdr:row>
      <xdr:rowOff>133350</xdr:rowOff>
    </xdr:to>
    <xdr:cxnSp macro="">
      <xdr:nvCxnSpPr>
        <xdr:cNvPr id="65" name="Straight Connector 64"/>
        <xdr:cNvCxnSpPr/>
      </xdr:nvCxnSpPr>
      <xdr:spPr>
        <a:xfrm>
          <a:off x="885825" y="14906625"/>
          <a:ext cx="0" cy="1238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78</xdr:row>
      <xdr:rowOff>9525</xdr:rowOff>
    </xdr:from>
    <xdr:to>
      <xdr:col>2</xdr:col>
      <xdr:colOff>523875</xdr:colOff>
      <xdr:row>78</xdr:row>
      <xdr:rowOff>9525</xdr:rowOff>
    </xdr:to>
    <xdr:cxnSp macro="">
      <xdr:nvCxnSpPr>
        <xdr:cNvPr id="66" name="Straight Connector 65"/>
        <xdr:cNvCxnSpPr/>
      </xdr:nvCxnSpPr>
      <xdr:spPr>
        <a:xfrm>
          <a:off x="885825" y="14906625"/>
          <a:ext cx="5238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104775</xdr:colOff>
      <xdr:row>76</xdr:row>
      <xdr:rowOff>104775</xdr:rowOff>
    </xdr:from>
    <xdr:to>
      <xdr:col>8</xdr:col>
      <xdr:colOff>123825</xdr:colOff>
      <xdr:row>76</xdr:row>
      <xdr:rowOff>104775</xdr:rowOff>
    </xdr:to>
    <xdr:cxnSp macro="">
      <xdr:nvCxnSpPr>
        <xdr:cNvPr id="68" name="Straight Connector 67"/>
        <xdr:cNvCxnSpPr/>
      </xdr:nvCxnSpPr>
      <xdr:spPr>
        <a:xfrm>
          <a:off x="3495675" y="14620875"/>
          <a:ext cx="9429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77</xdr:row>
      <xdr:rowOff>95250</xdr:rowOff>
    </xdr:from>
    <xdr:to>
      <xdr:col>8</xdr:col>
      <xdr:colOff>133350</xdr:colOff>
      <xdr:row>77</xdr:row>
      <xdr:rowOff>95250</xdr:rowOff>
    </xdr:to>
    <xdr:cxnSp macro="">
      <xdr:nvCxnSpPr>
        <xdr:cNvPr id="69" name="Straight Connector 68"/>
        <xdr:cNvCxnSpPr/>
      </xdr:nvCxnSpPr>
      <xdr:spPr>
        <a:xfrm>
          <a:off x="3486150" y="14801850"/>
          <a:ext cx="9620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67</xdr:row>
      <xdr:rowOff>190499</xdr:rowOff>
    </xdr:from>
    <xdr:to>
      <xdr:col>6</xdr:col>
      <xdr:colOff>95250</xdr:colOff>
      <xdr:row>90</xdr:row>
      <xdr:rowOff>15239</xdr:rowOff>
    </xdr:to>
    <xdr:cxnSp macro="">
      <xdr:nvCxnSpPr>
        <xdr:cNvPr id="70" name="Straight Connector 69"/>
        <xdr:cNvCxnSpPr/>
      </xdr:nvCxnSpPr>
      <xdr:spPr>
        <a:xfrm>
          <a:off x="3486150" y="13182599"/>
          <a:ext cx="0" cy="420624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247650</xdr:colOff>
      <xdr:row>67</xdr:row>
      <xdr:rowOff>180974</xdr:rowOff>
    </xdr:from>
    <xdr:to>
      <xdr:col>6</xdr:col>
      <xdr:colOff>247650</xdr:colOff>
      <xdr:row>90</xdr:row>
      <xdr:rowOff>97154</xdr:rowOff>
    </xdr:to>
    <xdr:cxnSp macro="">
      <xdr:nvCxnSpPr>
        <xdr:cNvPr id="71" name="Straight Connector 70"/>
        <xdr:cNvCxnSpPr/>
      </xdr:nvCxnSpPr>
      <xdr:spPr>
        <a:xfrm>
          <a:off x="3638550" y="13173074"/>
          <a:ext cx="0" cy="429768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247650</xdr:colOff>
      <xdr:row>78</xdr:row>
      <xdr:rowOff>9525</xdr:rowOff>
    </xdr:from>
    <xdr:to>
      <xdr:col>6</xdr:col>
      <xdr:colOff>771525</xdr:colOff>
      <xdr:row>78</xdr:row>
      <xdr:rowOff>9525</xdr:rowOff>
    </xdr:to>
    <xdr:cxnSp macro="">
      <xdr:nvCxnSpPr>
        <xdr:cNvPr id="73" name="Straight Connector 72"/>
        <xdr:cNvCxnSpPr/>
      </xdr:nvCxnSpPr>
      <xdr:spPr>
        <a:xfrm>
          <a:off x="3638550" y="14906625"/>
          <a:ext cx="5238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77</xdr:row>
      <xdr:rowOff>85725</xdr:rowOff>
    </xdr:from>
    <xdr:to>
      <xdr:col>6</xdr:col>
      <xdr:colOff>95250</xdr:colOff>
      <xdr:row>78</xdr:row>
      <xdr:rowOff>0</xdr:rowOff>
    </xdr:to>
    <xdr:cxnSp macro="">
      <xdr:nvCxnSpPr>
        <xdr:cNvPr id="62" name="Straight Connector 61"/>
        <xdr:cNvCxnSpPr/>
      </xdr:nvCxnSpPr>
      <xdr:spPr>
        <a:xfrm>
          <a:off x="3486150" y="14792325"/>
          <a:ext cx="0" cy="10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247650</xdr:colOff>
      <xdr:row>77</xdr:row>
      <xdr:rowOff>85725</xdr:rowOff>
    </xdr:from>
    <xdr:to>
      <xdr:col>6</xdr:col>
      <xdr:colOff>247650</xdr:colOff>
      <xdr:row>78</xdr:row>
      <xdr:rowOff>0</xdr:rowOff>
    </xdr:to>
    <xdr:cxnSp macro="">
      <xdr:nvCxnSpPr>
        <xdr:cNvPr id="74" name="Straight Connector 73"/>
        <xdr:cNvCxnSpPr/>
      </xdr:nvCxnSpPr>
      <xdr:spPr>
        <a:xfrm>
          <a:off x="3638550" y="14792325"/>
          <a:ext cx="0" cy="10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78</xdr:row>
      <xdr:rowOff>9525</xdr:rowOff>
    </xdr:from>
    <xdr:to>
      <xdr:col>7</xdr:col>
      <xdr:colOff>0</xdr:colOff>
      <xdr:row>78</xdr:row>
      <xdr:rowOff>133350</xdr:rowOff>
    </xdr:to>
    <xdr:cxnSp macro="">
      <xdr:nvCxnSpPr>
        <xdr:cNvPr id="78" name="Straight Connector 77"/>
        <xdr:cNvCxnSpPr/>
      </xdr:nvCxnSpPr>
      <xdr:spPr>
        <a:xfrm>
          <a:off x="4171950" y="14906625"/>
          <a:ext cx="0" cy="1238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78</xdr:row>
      <xdr:rowOff>142875</xdr:rowOff>
    </xdr:from>
    <xdr:to>
      <xdr:col>7</xdr:col>
      <xdr:colOff>0</xdr:colOff>
      <xdr:row>78</xdr:row>
      <xdr:rowOff>142875</xdr:rowOff>
    </xdr:to>
    <xdr:cxnSp macro="">
      <xdr:nvCxnSpPr>
        <xdr:cNvPr id="79" name="Straight Connector 78"/>
        <xdr:cNvCxnSpPr/>
      </xdr:nvCxnSpPr>
      <xdr:spPr>
        <a:xfrm flipV="1">
          <a:off x="885825" y="15039975"/>
          <a:ext cx="32861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676275</xdr:colOff>
      <xdr:row>78</xdr:row>
      <xdr:rowOff>0</xdr:rowOff>
    </xdr:from>
    <xdr:to>
      <xdr:col>6</xdr:col>
      <xdr:colOff>91440</xdr:colOff>
      <xdr:row>78</xdr:row>
      <xdr:rowOff>0</xdr:rowOff>
    </xdr:to>
    <xdr:cxnSp macro="">
      <xdr:nvCxnSpPr>
        <xdr:cNvPr id="80" name="Straight Connector 79"/>
        <xdr:cNvCxnSpPr/>
      </xdr:nvCxnSpPr>
      <xdr:spPr>
        <a:xfrm>
          <a:off x="1562100" y="14897100"/>
          <a:ext cx="192024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152400</xdr:colOff>
      <xdr:row>77</xdr:row>
      <xdr:rowOff>0</xdr:rowOff>
    </xdr:from>
    <xdr:to>
      <xdr:col>8</xdr:col>
      <xdr:colOff>426720</xdr:colOff>
      <xdr:row>77</xdr:row>
      <xdr:rowOff>0</xdr:rowOff>
    </xdr:to>
    <xdr:cxnSp macro="">
      <xdr:nvCxnSpPr>
        <xdr:cNvPr id="84" name="Straight Arrow Connector 83"/>
        <xdr:cNvCxnSpPr/>
      </xdr:nvCxnSpPr>
      <xdr:spPr>
        <a:xfrm>
          <a:off x="4467225" y="14706600"/>
          <a:ext cx="27432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542925</xdr:colOff>
      <xdr:row>61</xdr:row>
      <xdr:rowOff>95251</xdr:rowOff>
    </xdr:from>
    <xdr:to>
      <xdr:col>3</xdr:col>
      <xdr:colOff>542926</xdr:colOff>
      <xdr:row>74</xdr:row>
      <xdr:rowOff>87631</xdr:rowOff>
    </xdr:to>
    <xdr:cxnSp macro="">
      <xdr:nvCxnSpPr>
        <xdr:cNvPr id="86" name="Straight Arrow Connector 85"/>
        <xdr:cNvCxnSpPr/>
      </xdr:nvCxnSpPr>
      <xdr:spPr>
        <a:xfrm flipV="1">
          <a:off x="2133600" y="11944351"/>
          <a:ext cx="1" cy="246888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457200</xdr:colOff>
      <xdr:row>61</xdr:row>
      <xdr:rowOff>0</xdr:rowOff>
    </xdr:from>
    <xdr:to>
      <xdr:col>3</xdr:col>
      <xdr:colOff>638175</xdr:colOff>
      <xdr:row>61</xdr:row>
      <xdr:rowOff>0</xdr:rowOff>
    </xdr:to>
    <xdr:cxnSp macro="">
      <xdr:nvCxnSpPr>
        <xdr:cNvPr id="90" name="Straight Connector 89"/>
        <xdr:cNvCxnSpPr/>
      </xdr:nvCxnSpPr>
      <xdr:spPr>
        <a:xfrm>
          <a:off x="2047875" y="11849100"/>
          <a:ext cx="1809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542925</xdr:colOff>
      <xdr:row>61</xdr:row>
      <xdr:rowOff>9525</xdr:rowOff>
    </xdr:from>
    <xdr:to>
      <xdr:col>3</xdr:col>
      <xdr:colOff>542925</xdr:colOff>
      <xdr:row>66</xdr:row>
      <xdr:rowOff>38100</xdr:rowOff>
    </xdr:to>
    <xdr:cxnSp macro="">
      <xdr:nvCxnSpPr>
        <xdr:cNvPr id="92" name="Straight Connector 91"/>
        <xdr:cNvCxnSpPr/>
      </xdr:nvCxnSpPr>
      <xdr:spPr>
        <a:xfrm flipV="1">
          <a:off x="2133600" y="11858625"/>
          <a:ext cx="0" cy="9810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161925</xdr:colOff>
      <xdr:row>61</xdr:row>
      <xdr:rowOff>95250</xdr:rowOff>
    </xdr:from>
    <xdr:to>
      <xdr:col>3</xdr:col>
      <xdr:colOff>161925</xdr:colOff>
      <xdr:row>65</xdr:row>
      <xdr:rowOff>114300</xdr:rowOff>
    </xdr:to>
    <xdr:cxnSp macro="">
      <xdr:nvCxnSpPr>
        <xdr:cNvPr id="94" name="Straight Arrow Connector 93"/>
        <xdr:cNvCxnSpPr/>
      </xdr:nvCxnSpPr>
      <xdr:spPr>
        <a:xfrm flipH="1" flipV="1">
          <a:off x="1752600" y="11753850"/>
          <a:ext cx="0" cy="7810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457200</xdr:colOff>
      <xdr:row>74</xdr:row>
      <xdr:rowOff>0</xdr:rowOff>
    </xdr:from>
    <xdr:to>
      <xdr:col>3</xdr:col>
      <xdr:colOff>619125</xdr:colOff>
      <xdr:row>75</xdr:row>
      <xdr:rowOff>0</xdr:rowOff>
    </xdr:to>
    <xdr:sp macro="" textlink="">
      <xdr:nvSpPr>
        <xdr:cNvPr id="3076" name="Rectangle 3075"/>
        <xdr:cNvSpPr/>
      </xdr:nvSpPr>
      <xdr:spPr>
        <a:xfrm>
          <a:off x="2047875" y="14135100"/>
          <a:ext cx="161925" cy="1905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457200</xdr:colOff>
      <xdr:row>74</xdr:row>
      <xdr:rowOff>9525</xdr:rowOff>
    </xdr:from>
    <xdr:to>
      <xdr:col>3</xdr:col>
      <xdr:colOff>609600</xdr:colOff>
      <xdr:row>75</xdr:row>
      <xdr:rowOff>0</xdr:rowOff>
    </xdr:to>
    <xdr:sp macro="" textlink="">
      <xdr:nvSpPr>
        <xdr:cNvPr id="3077" name="Flowchart: Collate 3076"/>
        <xdr:cNvSpPr/>
      </xdr:nvSpPr>
      <xdr:spPr>
        <a:xfrm>
          <a:off x="2047875" y="14144625"/>
          <a:ext cx="152400" cy="180975"/>
        </a:xfrm>
        <a:prstGeom prst="flowChartCollat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3</xdr:col>
      <xdr:colOff>76200</xdr:colOff>
      <xdr:row>70</xdr:row>
      <xdr:rowOff>0</xdr:rowOff>
    </xdr:from>
    <xdr:to>
      <xdr:col>3</xdr:col>
      <xdr:colOff>238125</xdr:colOff>
      <xdr:row>71</xdr:row>
      <xdr:rowOff>0</xdr:rowOff>
    </xdr:to>
    <xdr:sp macro="" textlink="">
      <xdr:nvSpPr>
        <xdr:cNvPr id="104" name="Rectangle 103"/>
        <xdr:cNvSpPr/>
      </xdr:nvSpPr>
      <xdr:spPr>
        <a:xfrm>
          <a:off x="1666875" y="13373100"/>
          <a:ext cx="161925" cy="1905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76200</xdr:colOff>
      <xdr:row>70</xdr:row>
      <xdr:rowOff>9525</xdr:rowOff>
    </xdr:from>
    <xdr:to>
      <xdr:col>3</xdr:col>
      <xdr:colOff>228600</xdr:colOff>
      <xdr:row>71</xdr:row>
      <xdr:rowOff>0</xdr:rowOff>
    </xdr:to>
    <xdr:sp macro="" textlink="">
      <xdr:nvSpPr>
        <xdr:cNvPr id="105" name="Flowchart: Collate 104"/>
        <xdr:cNvSpPr/>
      </xdr:nvSpPr>
      <xdr:spPr>
        <a:xfrm>
          <a:off x="1666875" y="13382625"/>
          <a:ext cx="152400" cy="180975"/>
        </a:xfrm>
        <a:prstGeom prst="flowChartCollat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0</xdr:col>
      <xdr:colOff>152400</xdr:colOff>
      <xdr:row>64</xdr:row>
      <xdr:rowOff>0</xdr:rowOff>
    </xdr:from>
    <xdr:to>
      <xdr:col>6</xdr:col>
      <xdr:colOff>95250</xdr:colOff>
      <xdr:row>64</xdr:row>
      <xdr:rowOff>0</xdr:rowOff>
    </xdr:to>
    <xdr:cxnSp macro="">
      <xdr:nvCxnSpPr>
        <xdr:cNvPr id="3079" name="Straight Connector 3078"/>
        <xdr:cNvCxnSpPr/>
      </xdr:nvCxnSpPr>
      <xdr:spPr>
        <a:xfrm>
          <a:off x="152400" y="12420600"/>
          <a:ext cx="3333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466725</xdr:colOff>
      <xdr:row>69</xdr:row>
      <xdr:rowOff>0</xdr:rowOff>
    </xdr:from>
    <xdr:to>
      <xdr:col>1</xdr:col>
      <xdr:colOff>466725</xdr:colOff>
      <xdr:row>70</xdr:row>
      <xdr:rowOff>0</xdr:rowOff>
    </xdr:to>
    <xdr:cxnSp macro="">
      <xdr:nvCxnSpPr>
        <xdr:cNvPr id="3081" name="Straight Connector 3080"/>
        <xdr:cNvCxnSpPr/>
      </xdr:nvCxnSpPr>
      <xdr:spPr>
        <a:xfrm>
          <a:off x="647700" y="13373100"/>
          <a:ext cx="0"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276225</xdr:colOff>
      <xdr:row>69</xdr:row>
      <xdr:rowOff>19050</xdr:rowOff>
    </xdr:from>
    <xdr:to>
      <xdr:col>1</xdr:col>
      <xdr:colOff>276225</xdr:colOff>
      <xdr:row>71</xdr:row>
      <xdr:rowOff>0</xdr:rowOff>
    </xdr:to>
    <xdr:cxnSp macro="">
      <xdr:nvCxnSpPr>
        <xdr:cNvPr id="110" name="Straight Connector 109"/>
        <xdr:cNvCxnSpPr/>
      </xdr:nvCxnSpPr>
      <xdr:spPr>
        <a:xfrm>
          <a:off x="457200" y="13392150"/>
          <a:ext cx="0" cy="361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242435</xdr:colOff>
      <xdr:row>68</xdr:row>
      <xdr:rowOff>16060</xdr:rowOff>
    </xdr:from>
    <xdr:to>
      <xdr:col>1</xdr:col>
      <xdr:colOff>516755</xdr:colOff>
      <xdr:row>69</xdr:row>
      <xdr:rowOff>99880</xdr:rowOff>
    </xdr:to>
    <xdr:sp macro="" textlink="">
      <xdr:nvSpPr>
        <xdr:cNvPr id="3083" name="Chord 3082"/>
        <xdr:cNvSpPr/>
      </xdr:nvSpPr>
      <xdr:spPr>
        <a:xfrm rot="6780000">
          <a:off x="423410" y="13198660"/>
          <a:ext cx="274320" cy="274320"/>
        </a:xfrm>
        <a:prstGeom prst="chord">
          <a:avLst/>
        </a:prstGeom>
        <a:pattFill prst="smConfetti">
          <a:fgClr>
            <a:schemeClr val="accent1"/>
          </a:fgClr>
          <a:bgClr>
            <a:schemeClr val="bg1"/>
          </a:bgClr>
        </a:patt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471940</xdr:colOff>
      <xdr:row>73</xdr:row>
      <xdr:rowOff>12515</xdr:rowOff>
    </xdr:from>
    <xdr:to>
      <xdr:col>1</xdr:col>
      <xdr:colOff>471940</xdr:colOff>
      <xdr:row>74</xdr:row>
      <xdr:rowOff>12515</xdr:rowOff>
    </xdr:to>
    <xdr:cxnSp macro="">
      <xdr:nvCxnSpPr>
        <xdr:cNvPr id="114" name="Straight Connector 113"/>
        <xdr:cNvCxnSpPr/>
      </xdr:nvCxnSpPr>
      <xdr:spPr>
        <a:xfrm>
          <a:off x="652915" y="14147615"/>
          <a:ext cx="0"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281440</xdr:colOff>
      <xdr:row>73</xdr:row>
      <xdr:rowOff>31565</xdr:rowOff>
    </xdr:from>
    <xdr:to>
      <xdr:col>1</xdr:col>
      <xdr:colOff>281440</xdr:colOff>
      <xdr:row>75</xdr:row>
      <xdr:rowOff>12515</xdr:rowOff>
    </xdr:to>
    <xdr:cxnSp macro="">
      <xdr:nvCxnSpPr>
        <xdr:cNvPr id="115" name="Straight Connector 114"/>
        <xdr:cNvCxnSpPr/>
      </xdr:nvCxnSpPr>
      <xdr:spPr>
        <a:xfrm>
          <a:off x="462415" y="14166665"/>
          <a:ext cx="0" cy="361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72</xdr:row>
      <xdr:rowOff>28575</xdr:rowOff>
    </xdr:from>
    <xdr:to>
      <xdr:col>1</xdr:col>
      <xdr:colOff>521970</xdr:colOff>
      <xdr:row>73</xdr:row>
      <xdr:rowOff>112395</xdr:rowOff>
    </xdr:to>
    <xdr:sp macro="" textlink="">
      <xdr:nvSpPr>
        <xdr:cNvPr id="116" name="Chord 115"/>
        <xdr:cNvSpPr/>
      </xdr:nvSpPr>
      <xdr:spPr>
        <a:xfrm rot="6780000">
          <a:off x="428625" y="13973175"/>
          <a:ext cx="274320" cy="274320"/>
        </a:xfrm>
        <a:prstGeom prst="chord">
          <a:avLst/>
        </a:prstGeom>
        <a:pattFill prst="smConfetti">
          <a:fgClr>
            <a:schemeClr val="accent1"/>
          </a:fgClr>
          <a:bgClr>
            <a:schemeClr val="bg1"/>
          </a:bgClr>
        </a:patt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66675</xdr:colOff>
      <xdr:row>76</xdr:row>
      <xdr:rowOff>114300</xdr:rowOff>
    </xdr:from>
    <xdr:to>
      <xdr:col>8</xdr:col>
      <xdr:colOff>144553</xdr:colOff>
      <xdr:row>77</xdr:row>
      <xdr:rowOff>95250</xdr:rowOff>
    </xdr:to>
    <xdr:sp macro="" textlink="">
      <xdr:nvSpPr>
        <xdr:cNvPr id="3086" name="Freeform 3085"/>
        <xdr:cNvSpPr/>
      </xdr:nvSpPr>
      <xdr:spPr>
        <a:xfrm>
          <a:off x="4381500" y="14820900"/>
          <a:ext cx="77878" cy="171450"/>
        </a:xfrm>
        <a:custGeom>
          <a:avLst/>
          <a:gdLst>
            <a:gd name="connsiteX0" fmla="*/ 57150 w 77878"/>
            <a:gd name="connsiteY0" fmla="*/ 0 h 171450"/>
            <a:gd name="connsiteX1" fmla="*/ 28575 w 77878"/>
            <a:gd name="connsiteY1" fmla="*/ 47625 h 171450"/>
            <a:gd name="connsiteX2" fmla="*/ 9525 w 77878"/>
            <a:gd name="connsiteY2" fmla="*/ 76200 h 171450"/>
            <a:gd name="connsiteX3" fmla="*/ 0 w 77878"/>
            <a:gd name="connsiteY3" fmla="*/ 104775 h 171450"/>
            <a:gd name="connsiteX4" fmla="*/ 9525 w 77878"/>
            <a:gd name="connsiteY4" fmla="*/ 142875 h 171450"/>
            <a:gd name="connsiteX5" fmla="*/ 66675 w 77878"/>
            <a:gd name="connsiteY5" fmla="*/ 171450 h 171450"/>
            <a:gd name="connsiteX6" fmla="*/ 66675 w 77878"/>
            <a:gd name="connsiteY6" fmla="*/ 95250 h 171450"/>
            <a:gd name="connsiteX7" fmla="*/ 38100 w 77878"/>
            <a:gd name="connsiteY7" fmla="*/ 76200 h 171450"/>
            <a:gd name="connsiteX8" fmla="*/ 28575 w 77878"/>
            <a:gd name="connsiteY8" fmla="*/ 66675 h 1714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77878" h="171450">
              <a:moveTo>
                <a:pt x="57150" y="0"/>
              </a:moveTo>
              <a:cubicBezTo>
                <a:pt x="47625" y="15875"/>
                <a:pt x="38387" y="31926"/>
                <a:pt x="28575" y="47625"/>
              </a:cubicBezTo>
              <a:cubicBezTo>
                <a:pt x="22508" y="57333"/>
                <a:pt x="14645" y="65961"/>
                <a:pt x="9525" y="76200"/>
              </a:cubicBezTo>
              <a:cubicBezTo>
                <a:pt x="5035" y="85180"/>
                <a:pt x="3175" y="95250"/>
                <a:pt x="0" y="104775"/>
              </a:cubicBezTo>
              <a:cubicBezTo>
                <a:pt x="3175" y="117475"/>
                <a:pt x="2263" y="131983"/>
                <a:pt x="9525" y="142875"/>
              </a:cubicBezTo>
              <a:cubicBezTo>
                <a:pt x="20076" y="158702"/>
                <a:pt x="50375" y="166017"/>
                <a:pt x="66675" y="171450"/>
              </a:cubicBezTo>
              <a:cubicBezTo>
                <a:pt x="76442" y="142148"/>
                <a:pt x="86033" y="129127"/>
                <a:pt x="66675" y="95250"/>
              </a:cubicBezTo>
              <a:cubicBezTo>
                <a:pt x="60995" y="85311"/>
                <a:pt x="47258" y="83069"/>
                <a:pt x="38100" y="76200"/>
              </a:cubicBezTo>
              <a:cubicBezTo>
                <a:pt x="34508" y="73506"/>
                <a:pt x="31750" y="69850"/>
                <a:pt x="28575" y="66675"/>
              </a:cubicBezTo>
            </a:path>
          </a:pathLst>
        </a:custGeom>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771525</xdr:colOff>
      <xdr:row>64</xdr:row>
      <xdr:rowOff>0</xdr:rowOff>
    </xdr:from>
    <xdr:to>
      <xdr:col>4</xdr:col>
      <xdr:colOff>771525</xdr:colOff>
      <xdr:row>78</xdr:row>
      <xdr:rowOff>0</xdr:rowOff>
    </xdr:to>
    <xdr:cxnSp macro="">
      <xdr:nvCxnSpPr>
        <xdr:cNvPr id="3088" name="Straight Arrow Connector 3087"/>
        <xdr:cNvCxnSpPr/>
      </xdr:nvCxnSpPr>
      <xdr:spPr>
        <a:xfrm>
          <a:off x="3114675" y="12420600"/>
          <a:ext cx="0" cy="266700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72</xdr:row>
      <xdr:rowOff>0</xdr:rowOff>
    </xdr:from>
    <xdr:to>
      <xdr:col>2</xdr:col>
      <xdr:colOff>523875</xdr:colOff>
      <xdr:row>72</xdr:row>
      <xdr:rowOff>0</xdr:rowOff>
    </xdr:to>
    <xdr:cxnSp macro="">
      <xdr:nvCxnSpPr>
        <xdr:cNvPr id="3090" name="Straight Connector 3089"/>
        <xdr:cNvCxnSpPr/>
      </xdr:nvCxnSpPr>
      <xdr:spPr>
        <a:xfrm>
          <a:off x="180975" y="13944600"/>
          <a:ext cx="12287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76</xdr:row>
      <xdr:rowOff>9525</xdr:rowOff>
    </xdr:from>
    <xdr:to>
      <xdr:col>2</xdr:col>
      <xdr:colOff>0</xdr:colOff>
      <xdr:row>89</xdr:row>
      <xdr:rowOff>184785</xdr:rowOff>
    </xdr:to>
    <xdr:cxnSp macro="">
      <xdr:nvCxnSpPr>
        <xdr:cNvPr id="125" name="Straight Connector 124"/>
        <xdr:cNvCxnSpPr/>
      </xdr:nvCxnSpPr>
      <xdr:spPr>
        <a:xfrm>
          <a:off x="885825" y="14716125"/>
          <a:ext cx="0" cy="265176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77</xdr:row>
      <xdr:rowOff>152400</xdr:rowOff>
    </xdr:from>
    <xdr:to>
      <xdr:col>7</xdr:col>
      <xdr:colOff>0</xdr:colOff>
      <xdr:row>90</xdr:row>
      <xdr:rowOff>53340</xdr:rowOff>
    </xdr:to>
    <xdr:cxnSp macro="">
      <xdr:nvCxnSpPr>
        <xdr:cNvPr id="126" name="Straight Connector 125"/>
        <xdr:cNvCxnSpPr/>
      </xdr:nvCxnSpPr>
      <xdr:spPr>
        <a:xfrm>
          <a:off x="4171950" y="15049500"/>
          <a:ext cx="0" cy="2377440"/>
        </a:xfrm>
        <a:prstGeom prst="line">
          <a:avLst/>
        </a:prstGeom>
        <a:ln>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676275</xdr:colOff>
      <xdr:row>84</xdr:row>
      <xdr:rowOff>114301</xdr:rowOff>
    </xdr:from>
    <xdr:to>
      <xdr:col>6</xdr:col>
      <xdr:colOff>95250</xdr:colOff>
      <xdr:row>94</xdr:row>
      <xdr:rowOff>129541</xdr:rowOff>
    </xdr:to>
    <xdr:sp macro="" textlink="">
      <xdr:nvSpPr>
        <xdr:cNvPr id="128" name="Oval 127"/>
        <xdr:cNvSpPr/>
      </xdr:nvSpPr>
      <xdr:spPr>
        <a:xfrm>
          <a:off x="1562100" y="16344901"/>
          <a:ext cx="1924050" cy="1920240"/>
        </a:xfrm>
        <a:prstGeom prst="ellipse">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0</xdr:colOff>
      <xdr:row>80</xdr:row>
      <xdr:rowOff>180975</xdr:rowOff>
    </xdr:from>
    <xdr:to>
      <xdr:col>6</xdr:col>
      <xdr:colOff>771525</xdr:colOff>
      <xdr:row>98</xdr:row>
      <xdr:rowOff>47624</xdr:rowOff>
    </xdr:to>
    <xdr:sp macro="" textlink="">
      <xdr:nvSpPr>
        <xdr:cNvPr id="130" name="Oval 129"/>
        <xdr:cNvSpPr/>
      </xdr:nvSpPr>
      <xdr:spPr>
        <a:xfrm>
          <a:off x="885825" y="15649575"/>
          <a:ext cx="3276600" cy="3295649"/>
        </a:xfrm>
        <a:prstGeom prst="ellipse">
          <a:avLst/>
        </a:prstGeom>
        <a:noFill/>
        <a:ln w="9525">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523874</xdr:colOff>
      <xdr:row>83</xdr:row>
      <xdr:rowOff>171450</xdr:rowOff>
    </xdr:from>
    <xdr:to>
      <xdr:col>6</xdr:col>
      <xdr:colOff>257174</xdr:colOff>
      <xdr:row>95</xdr:row>
      <xdr:rowOff>66674</xdr:rowOff>
    </xdr:to>
    <xdr:sp macro="" textlink="">
      <xdr:nvSpPr>
        <xdr:cNvPr id="131" name="Oval 130"/>
        <xdr:cNvSpPr/>
      </xdr:nvSpPr>
      <xdr:spPr>
        <a:xfrm>
          <a:off x="1409699" y="16211550"/>
          <a:ext cx="2238375" cy="2181224"/>
        </a:xfrm>
        <a:prstGeom prst="ellipse">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752475</xdr:colOff>
      <xdr:row>89</xdr:row>
      <xdr:rowOff>95250</xdr:rowOff>
    </xdr:from>
    <xdr:to>
      <xdr:col>8</xdr:col>
      <xdr:colOff>102870</xdr:colOff>
      <xdr:row>89</xdr:row>
      <xdr:rowOff>95250</xdr:rowOff>
    </xdr:to>
    <xdr:cxnSp macro="">
      <xdr:nvCxnSpPr>
        <xdr:cNvPr id="132" name="Straight Connector 131"/>
        <xdr:cNvCxnSpPr/>
      </xdr:nvCxnSpPr>
      <xdr:spPr>
        <a:xfrm>
          <a:off x="4143375" y="17278350"/>
          <a:ext cx="2743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771525</xdr:colOff>
      <xdr:row>90</xdr:row>
      <xdr:rowOff>76200</xdr:rowOff>
    </xdr:from>
    <xdr:to>
      <xdr:col>8</xdr:col>
      <xdr:colOff>121920</xdr:colOff>
      <xdr:row>90</xdr:row>
      <xdr:rowOff>76200</xdr:rowOff>
    </xdr:to>
    <xdr:cxnSp macro="">
      <xdr:nvCxnSpPr>
        <xdr:cNvPr id="133" name="Straight Connector 132"/>
        <xdr:cNvCxnSpPr/>
      </xdr:nvCxnSpPr>
      <xdr:spPr>
        <a:xfrm>
          <a:off x="4162425" y="17449800"/>
          <a:ext cx="2743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142875</xdr:colOff>
      <xdr:row>89</xdr:row>
      <xdr:rowOff>171450</xdr:rowOff>
    </xdr:from>
    <xdr:to>
      <xdr:col>8</xdr:col>
      <xdr:colOff>417195</xdr:colOff>
      <xdr:row>89</xdr:row>
      <xdr:rowOff>171450</xdr:rowOff>
    </xdr:to>
    <xdr:cxnSp macro="">
      <xdr:nvCxnSpPr>
        <xdr:cNvPr id="134" name="Straight Arrow Connector 133"/>
        <xdr:cNvCxnSpPr/>
      </xdr:nvCxnSpPr>
      <xdr:spPr>
        <a:xfrm>
          <a:off x="4457700" y="17354550"/>
          <a:ext cx="27432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57150</xdr:colOff>
      <xdr:row>89</xdr:row>
      <xdr:rowOff>95250</xdr:rowOff>
    </xdr:from>
    <xdr:to>
      <xdr:col>8</xdr:col>
      <xdr:colOff>135028</xdr:colOff>
      <xdr:row>90</xdr:row>
      <xdr:rowOff>76200</xdr:rowOff>
    </xdr:to>
    <xdr:sp macro="" textlink="">
      <xdr:nvSpPr>
        <xdr:cNvPr id="135" name="Freeform 134"/>
        <xdr:cNvSpPr/>
      </xdr:nvSpPr>
      <xdr:spPr>
        <a:xfrm>
          <a:off x="4371975" y="17278350"/>
          <a:ext cx="77878" cy="171450"/>
        </a:xfrm>
        <a:custGeom>
          <a:avLst/>
          <a:gdLst>
            <a:gd name="connsiteX0" fmla="*/ 57150 w 77878"/>
            <a:gd name="connsiteY0" fmla="*/ 0 h 171450"/>
            <a:gd name="connsiteX1" fmla="*/ 28575 w 77878"/>
            <a:gd name="connsiteY1" fmla="*/ 47625 h 171450"/>
            <a:gd name="connsiteX2" fmla="*/ 9525 w 77878"/>
            <a:gd name="connsiteY2" fmla="*/ 76200 h 171450"/>
            <a:gd name="connsiteX3" fmla="*/ 0 w 77878"/>
            <a:gd name="connsiteY3" fmla="*/ 104775 h 171450"/>
            <a:gd name="connsiteX4" fmla="*/ 9525 w 77878"/>
            <a:gd name="connsiteY4" fmla="*/ 142875 h 171450"/>
            <a:gd name="connsiteX5" fmla="*/ 66675 w 77878"/>
            <a:gd name="connsiteY5" fmla="*/ 171450 h 171450"/>
            <a:gd name="connsiteX6" fmla="*/ 66675 w 77878"/>
            <a:gd name="connsiteY6" fmla="*/ 95250 h 171450"/>
            <a:gd name="connsiteX7" fmla="*/ 38100 w 77878"/>
            <a:gd name="connsiteY7" fmla="*/ 76200 h 171450"/>
            <a:gd name="connsiteX8" fmla="*/ 28575 w 77878"/>
            <a:gd name="connsiteY8" fmla="*/ 66675 h 1714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77878" h="171450">
              <a:moveTo>
                <a:pt x="57150" y="0"/>
              </a:moveTo>
              <a:cubicBezTo>
                <a:pt x="47625" y="15875"/>
                <a:pt x="38387" y="31926"/>
                <a:pt x="28575" y="47625"/>
              </a:cubicBezTo>
              <a:cubicBezTo>
                <a:pt x="22508" y="57333"/>
                <a:pt x="14645" y="65961"/>
                <a:pt x="9525" y="76200"/>
              </a:cubicBezTo>
              <a:cubicBezTo>
                <a:pt x="5035" y="85180"/>
                <a:pt x="3175" y="95250"/>
                <a:pt x="0" y="104775"/>
              </a:cubicBezTo>
              <a:cubicBezTo>
                <a:pt x="3175" y="117475"/>
                <a:pt x="2263" y="131983"/>
                <a:pt x="9525" y="142875"/>
              </a:cubicBezTo>
              <a:cubicBezTo>
                <a:pt x="20076" y="158702"/>
                <a:pt x="50375" y="166017"/>
                <a:pt x="66675" y="171450"/>
              </a:cubicBezTo>
              <a:cubicBezTo>
                <a:pt x="76442" y="142148"/>
                <a:pt x="86033" y="129127"/>
                <a:pt x="66675" y="95250"/>
              </a:cubicBezTo>
              <a:cubicBezTo>
                <a:pt x="60995" y="85311"/>
                <a:pt x="47258" y="83069"/>
                <a:pt x="38100" y="76200"/>
              </a:cubicBezTo>
              <a:cubicBezTo>
                <a:pt x="34508" y="73506"/>
                <a:pt x="31750" y="69850"/>
                <a:pt x="28575" y="66675"/>
              </a:cubicBezTo>
            </a:path>
          </a:pathLst>
        </a:custGeom>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95250</xdr:colOff>
      <xdr:row>89</xdr:row>
      <xdr:rowOff>95250</xdr:rowOff>
    </xdr:from>
    <xdr:to>
      <xdr:col>6</xdr:col>
      <xdr:colOff>750570</xdr:colOff>
      <xdr:row>89</xdr:row>
      <xdr:rowOff>95250</xdr:rowOff>
    </xdr:to>
    <xdr:cxnSp macro="">
      <xdr:nvCxnSpPr>
        <xdr:cNvPr id="3094" name="Straight Connector 3093"/>
        <xdr:cNvCxnSpPr>
          <a:endCxn id="128" idx="6"/>
        </xdr:cNvCxnSpPr>
      </xdr:nvCxnSpPr>
      <xdr:spPr>
        <a:xfrm flipH="1">
          <a:off x="3486150" y="17278350"/>
          <a:ext cx="655320"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114300</xdr:colOff>
      <xdr:row>90</xdr:row>
      <xdr:rowOff>76200</xdr:rowOff>
    </xdr:from>
    <xdr:to>
      <xdr:col>7</xdr:col>
      <xdr:colOff>64770</xdr:colOff>
      <xdr:row>90</xdr:row>
      <xdr:rowOff>76200</xdr:rowOff>
    </xdr:to>
    <xdr:cxnSp macro="">
      <xdr:nvCxnSpPr>
        <xdr:cNvPr id="139" name="Straight Connector 138"/>
        <xdr:cNvCxnSpPr/>
      </xdr:nvCxnSpPr>
      <xdr:spPr>
        <a:xfrm flipH="1">
          <a:off x="3505200" y="17449800"/>
          <a:ext cx="731520"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685800</xdr:colOff>
      <xdr:row>89</xdr:row>
      <xdr:rowOff>95250</xdr:rowOff>
    </xdr:from>
    <xdr:to>
      <xdr:col>3</xdr:col>
      <xdr:colOff>647700</xdr:colOff>
      <xdr:row>89</xdr:row>
      <xdr:rowOff>95250</xdr:rowOff>
    </xdr:to>
    <xdr:cxnSp macro="">
      <xdr:nvCxnSpPr>
        <xdr:cNvPr id="144" name="Straight Connector 143"/>
        <xdr:cNvCxnSpPr/>
      </xdr:nvCxnSpPr>
      <xdr:spPr>
        <a:xfrm flipH="1">
          <a:off x="866775" y="17278350"/>
          <a:ext cx="1371600"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695325</xdr:colOff>
      <xdr:row>90</xdr:row>
      <xdr:rowOff>95250</xdr:rowOff>
    </xdr:from>
    <xdr:to>
      <xdr:col>3</xdr:col>
      <xdr:colOff>657225</xdr:colOff>
      <xdr:row>90</xdr:row>
      <xdr:rowOff>95250</xdr:rowOff>
    </xdr:to>
    <xdr:cxnSp macro="">
      <xdr:nvCxnSpPr>
        <xdr:cNvPr id="145" name="Straight Connector 144"/>
        <xdr:cNvCxnSpPr/>
      </xdr:nvCxnSpPr>
      <xdr:spPr>
        <a:xfrm flipH="1">
          <a:off x="876300" y="17468850"/>
          <a:ext cx="1371600"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457200</xdr:colOff>
      <xdr:row>89</xdr:row>
      <xdr:rowOff>95250</xdr:rowOff>
    </xdr:from>
    <xdr:to>
      <xdr:col>3</xdr:col>
      <xdr:colOff>619125</xdr:colOff>
      <xdr:row>90</xdr:row>
      <xdr:rowOff>95250</xdr:rowOff>
    </xdr:to>
    <xdr:sp macro="" textlink="">
      <xdr:nvSpPr>
        <xdr:cNvPr id="148" name="Rectangle 147"/>
        <xdr:cNvSpPr/>
      </xdr:nvSpPr>
      <xdr:spPr>
        <a:xfrm>
          <a:off x="2047875" y="17278350"/>
          <a:ext cx="161925" cy="19050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457200</xdr:colOff>
      <xdr:row>89</xdr:row>
      <xdr:rowOff>104775</xdr:rowOff>
    </xdr:from>
    <xdr:to>
      <xdr:col>3</xdr:col>
      <xdr:colOff>609600</xdr:colOff>
      <xdr:row>90</xdr:row>
      <xdr:rowOff>95250</xdr:rowOff>
    </xdr:to>
    <xdr:sp macro="" textlink="">
      <xdr:nvSpPr>
        <xdr:cNvPr id="149" name="Flowchart: Collate 148"/>
        <xdr:cNvSpPr/>
      </xdr:nvSpPr>
      <xdr:spPr>
        <a:xfrm>
          <a:off x="2047875" y="17287875"/>
          <a:ext cx="152400" cy="180975"/>
        </a:xfrm>
        <a:prstGeom prst="flowChartCollate">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3</xdr:col>
      <xdr:colOff>76200</xdr:colOff>
      <xdr:row>89</xdr:row>
      <xdr:rowOff>95250</xdr:rowOff>
    </xdr:from>
    <xdr:to>
      <xdr:col>3</xdr:col>
      <xdr:colOff>238125</xdr:colOff>
      <xdr:row>90</xdr:row>
      <xdr:rowOff>95250</xdr:rowOff>
    </xdr:to>
    <xdr:sp macro="" textlink="">
      <xdr:nvSpPr>
        <xdr:cNvPr id="150" name="Rectangle 149"/>
        <xdr:cNvSpPr/>
      </xdr:nvSpPr>
      <xdr:spPr>
        <a:xfrm>
          <a:off x="1666875" y="17278350"/>
          <a:ext cx="161925" cy="19050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76200</xdr:colOff>
      <xdr:row>89</xdr:row>
      <xdr:rowOff>104775</xdr:rowOff>
    </xdr:from>
    <xdr:to>
      <xdr:col>3</xdr:col>
      <xdr:colOff>228600</xdr:colOff>
      <xdr:row>90</xdr:row>
      <xdr:rowOff>95250</xdr:rowOff>
    </xdr:to>
    <xdr:sp macro="" textlink="">
      <xdr:nvSpPr>
        <xdr:cNvPr id="151" name="Flowchart: Collate 150"/>
        <xdr:cNvSpPr/>
      </xdr:nvSpPr>
      <xdr:spPr>
        <a:xfrm>
          <a:off x="1666875" y="17287875"/>
          <a:ext cx="152400" cy="180975"/>
        </a:xfrm>
        <a:prstGeom prst="flowChartCollate">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1</xdr:col>
      <xdr:colOff>228600</xdr:colOff>
      <xdr:row>89</xdr:row>
      <xdr:rowOff>28575</xdr:rowOff>
    </xdr:from>
    <xdr:to>
      <xdr:col>1</xdr:col>
      <xdr:colOff>523875</xdr:colOff>
      <xdr:row>90</xdr:row>
      <xdr:rowOff>152400</xdr:rowOff>
    </xdr:to>
    <xdr:sp macro="" textlink="">
      <xdr:nvSpPr>
        <xdr:cNvPr id="3103" name="Oval 3102"/>
        <xdr:cNvSpPr/>
      </xdr:nvSpPr>
      <xdr:spPr>
        <a:xfrm>
          <a:off x="409575" y="17211675"/>
          <a:ext cx="295275" cy="314325"/>
        </a:xfrm>
        <a:prstGeom prst="ellipse">
          <a:avLst/>
        </a:prstGeom>
        <a:pattFill prst="smConfetti">
          <a:fgClr>
            <a:schemeClr val="accent1"/>
          </a:fgClr>
          <a:bgClr>
            <a:schemeClr val="bg1"/>
          </a:bgClr>
        </a:patt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480633</xdr:colOff>
      <xdr:row>89</xdr:row>
      <xdr:rowOff>93657</xdr:rowOff>
    </xdr:from>
    <xdr:to>
      <xdr:col>2</xdr:col>
      <xdr:colOff>50103</xdr:colOff>
      <xdr:row>89</xdr:row>
      <xdr:rowOff>93657</xdr:rowOff>
    </xdr:to>
    <xdr:cxnSp macro="">
      <xdr:nvCxnSpPr>
        <xdr:cNvPr id="97" name="Straight Connector 96"/>
        <xdr:cNvCxnSpPr/>
      </xdr:nvCxnSpPr>
      <xdr:spPr>
        <a:xfrm flipH="1" flipV="1">
          <a:off x="661608" y="17276757"/>
          <a:ext cx="2743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476250</xdr:colOff>
      <xdr:row>90</xdr:row>
      <xdr:rowOff>95250</xdr:rowOff>
    </xdr:from>
    <xdr:to>
      <xdr:col>2</xdr:col>
      <xdr:colOff>45720</xdr:colOff>
      <xdr:row>90</xdr:row>
      <xdr:rowOff>95250</xdr:rowOff>
    </xdr:to>
    <xdr:cxnSp macro="">
      <xdr:nvCxnSpPr>
        <xdr:cNvPr id="158" name="Straight Connector 157"/>
        <xdr:cNvCxnSpPr/>
      </xdr:nvCxnSpPr>
      <xdr:spPr>
        <a:xfrm flipH="1" flipV="1">
          <a:off x="657225" y="17468850"/>
          <a:ext cx="2743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552452</xdr:colOff>
      <xdr:row>60</xdr:row>
      <xdr:rowOff>104774</xdr:rowOff>
    </xdr:from>
    <xdr:to>
      <xdr:col>4</xdr:col>
      <xdr:colOff>333375</xdr:colOff>
      <xdr:row>61</xdr:row>
      <xdr:rowOff>76197</xdr:rowOff>
    </xdr:to>
    <xdr:cxnSp macro="">
      <xdr:nvCxnSpPr>
        <xdr:cNvPr id="99" name="Elbow Connector 98"/>
        <xdr:cNvCxnSpPr/>
      </xdr:nvCxnSpPr>
      <xdr:spPr>
        <a:xfrm rot="10800000" flipV="1">
          <a:off x="2143127" y="11763374"/>
          <a:ext cx="533398" cy="161923"/>
        </a:xfrm>
        <a:prstGeom prst="bentConnector3">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171451</xdr:colOff>
      <xdr:row>60</xdr:row>
      <xdr:rowOff>104774</xdr:rowOff>
    </xdr:from>
    <xdr:to>
      <xdr:col>4</xdr:col>
      <xdr:colOff>171451</xdr:colOff>
      <xdr:row>61</xdr:row>
      <xdr:rowOff>76199</xdr:rowOff>
    </xdr:to>
    <xdr:cxnSp macro="">
      <xdr:nvCxnSpPr>
        <xdr:cNvPr id="161" name="Elbow Connector 160"/>
        <xdr:cNvCxnSpPr/>
      </xdr:nvCxnSpPr>
      <xdr:spPr>
        <a:xfrm rot="10800000" flipV="1">
          <a:off x="1762126" y="11763374"/>
          <a:ext cx="752475" cy="161925"/>
        </a:xfrm>
        <a:prstGeom prst="bentConnector3">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62</xdr:row>
      <xdr:rowOff>9525</xdr:rowOff>
    </xdr:from>
    <xdr:to>
      <xdr:col>6</xdr:col>
      <xdr:colOff>762000</xdr:colOff>
      <xdr:row>62</xdr:row>
      <xdr:rowOff>123825</xdr:rowOff>
    </xdr:to>
    <xdr:sp macro="" textlink="">
      <xdr:nvSpPr>
        <xdr:cNvPr id="111" name="Rectangle 110"/>
        <xdr:cNvSpPr/>
      </xdr:nvSpPr>
      <xdr:spPr>
        <a:xfrm>
          <a:off x="904875" y="12049125"/>
          <a:ext cx="3248025" cy="114300"/>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542925</xdr:colOff>
      <xdr:row>62</xdr:row>
      <xdr:rowOff>133350</xdr:rowOff>
    </xdr:from>
    <xdr:to>
      <xdr:col>2</xdr:col>
      <xdr:colOff>676275</xdr:colOff>
      <xdr:row>69</xdr:row>
      <xdr:rowOff>171450</xdr:rowOff>
    </xdr:to>
    <xdr:sp macro="" textlink="">
      <xdr:nvSpPr>
        <xdr:cNvPr id="112" name="Rectangle 111"/>
        <xdr:cNvSpPr/>
      </xdr:nvSpPr>
      <xdr:spPr>
        <a:xfrm>
          <a:off x="1428750" y="12172950"/>
          <a:ext cx="133350" cy="1371600"/>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2</xdr:col>
      <xdr:colOff>542925</xdr:colOff>
      <xdr:row>71</xdr:row>
      <xdr:rowOff>9525</xdr:rowOff>
    </xdr:from>
    <xdr:to>
      <xdr:col>2</xdr:col>
      <xdr:colOff>676275</xdr:colOff>
      <xdr:row>74</xdr:row>
      <xdr:rowOff>0</xdr:rowOff>
    </xdr:to>
    <xdr:sp macro="" textlink="">
      <xdr:nvSpPr>
        <xdr:cNvPr id="117" name="Rectangle 116"/>
        <xdr:cNvSpPr/>
      </xdr:nvSpPr>
      <xdr:spPr>
        <a:xfrm>
          <a:off x="1428750" y="13763625"/>
          <a:ext cx="133350" cy="561975"/>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2</xdr:col>
      <xdr:colOff>542925</xdr:colOff>
      <xdr:row>75</xdr:row>
      <xdr:rowOff>9525</xdr:rowOff>
    </xdr:from>
    <xdr:to>
      <xdr:col>2</xdr:col>
      <xdr:colOff>666750</xdr:colOff>
      <xdr:row>78</xdr:row>
      <xdr:rowOff>9525</xdr:rowOff>
    </xdr:to>
    <xdr:sp macro="" textlink="">
      <xdr:nvSpPr>
        <xdr:cNvPr id="118" name="Rectangle 117"/>
        <xdr:cNvSpPr/>
      </xdr:nvSpPr>
      <xdr:spPr>
        <a:xfrm>
          <a:off x="1428750" y="14525625"/>
          <a:ext cx="123825" cy="571500"/>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2</xdr:col>
      <xdr:colOff>9525</xdr:colOff>
      <xdr:row>78</xdr:row>
      <xdr:rowOff>28575</xdr:rowOff>
    </xdr:from>
    <xdr:to>
      <xdr:col>6</xdr:col>
      <xdr:colOff>771525</xdr:colOff>
      <xdr:row>78</xdr:row>
      <xdr:rowOff>133350</xdr:rowOff>
    </xdr:to>
    <xdr:sp macro="" textlink="">
      <xdr:nvSpPr>
        <xdr:cNvPr id="119" name="Rectangle 118"/>
        <xdr:cNvSpPr/>
      </xdr:nvSpPr>
      <xdr:spPr>
        <a:xfrm>
          <a:off x="895350" y="15116175"/>
          <a:ext cx="3267075" cy="104775"/>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6</xdr:col>
      <xdr:colOff>104775</xdr:colOff>
      <xdr:row>77</xdr:row>
      <xdr:rowOff>104775</xdr:rowOff>
    </xdr:from>
    <xdr:to>
      <xdr:col>6</xdr:col>
      <xdr:colOff>238125</xdr:colOff>
      <xdr:row>78</xdr:row>
      <xdr:rowOff>19050</xdr:rowOff>
    </xdr:to>
    <xdr:sp macro="" textlink="">
      <xdr:nvSpPr>
        <xdr:cNvPr id="120" name="Rectangle 119"/>
        <xdr:cNvSpPr/>
      </xdr:nvSpPr>
      <xdr:spPr>
        <a:xfrm>
          <a:off x="3495675" y="15001875"/>
          <a:ext cx="133350" cy="104775"/>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6</xdr:col>
      <xdr:colOff>114300</xdr:colOff>
      <xdr:row>62</xdr:row>
      <xdr:rowOff>133350</xdr:rowOff>
    </xdr:from>
    <xdr:to>
      <xdr:col>6</xdr:col>
      <xdr:colOff>238125</xdr:colOff>
      <xdr:row>76</xdr:row>
      <xdr:rowOff>104775</xdr:rowOff>
    </xdr:to>
    <xdr:sp macro="" textlink="">
      <xdr:nvSpPr>
        <xdr:cNvPr id="121" name="Rectangle 120"/>
        <xdr:cNvSpPr/>
      </xdr:nvSpPr>
      <xdr:spPr>
        <a:xfrm>
          <a:off x="3505200" y="12172950"/>
          <a:ext cx="123825" cy="2638425"/>
        </a:xfrm>
        <a:prstGeom prst="rect">
          <a:avLst/>
        </a:prstGeom>
        <a:pattFill prst="pct20">
          <a:fgClr>
            <a:schemeClr val="accent1"/>
          </a:fgClr>
          <a:bgClr>
            <a:schemeClr val="bg1"/>
          </a:bgClr>
        </a:patt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6</xdr:col>
      <xdr:colOff>628651</xdr:colOff>
      <xdr:row>60</xdr:row>
      <xdr:rowOff>161925</xdr:rowOff>
    </xdr:from>
    <xdr:to>
      <xdr:col>7</xdr:col>
      <xdr:colOff>95251</xdr:colOff>
      <xdr:row>62</xdr:row>
      <xdr:rowOff>95250</xdr:rowOff>
    </xdr:to>
    <xdr:cxnSp macro="">
      <xdr:nvCxnSpPr>
        <xdr:cNvPr id="123" name="Elbow Connector 122"/>
        <xdr:cNvCxnSpPr/>
      </xdr:nvCxnSpPr>
      <xdr:spPr>
        <a:xfrm rot="5400000">
          <a:off x="3986213" y="11853863"/>
          <a:ext cx="314325" cy="247650"/>
        </a:xfrm>
        <a:prstGeom prst="bentConnector3">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428626</xdr:colOff>
      <xdr:row>74</xdr:row>
      <xdr:rowOff>171450</xdr:rowOff>
    </xdr:from>
    <xdr:to>
      <xdr:col>6</xdr:col>
      <xdr:colOff>590551</xdr:colOff>
      <xdr:row>76</xdr:row>
      <xdr:rowOff>104775</xdr:rowOff>
    </xdr:to>
    <xdr:cxnSp macro="">
      <xdr:nvCxnSpPr>
        <xdr:cNvPr id="127" name="Curved Connector 126"/>
        <xdr:cNvCxnSpPr/>
      </xdr:nvCxnSpPr>
      <xdr:spPr>
        <a:xfrm rot="5400000">
          <a:off x="3743326" y="14573250"/>
          <a:ext cx="314325" cy="161925"/>
        </a:xfrm>
        <a:prstGeom prst="curvedConnector3">
          <a:avLst>
            <a:gd name="adj1" fmla="val 46970"/>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352426</xdr:colOff>
      <xdr:row>66</xdr:row>
      <xdr:rowOff>85725</xdr:rowOff>
    </xdr:from>
    <xdr:to>
      <xdr:col>1</xdr:col>
      <xdr:colOff>619126</xdr:colOff>
      <xdr:row>68</xdr:row>
      <xdr:rowOff>0</xdr:rowOff>
    </xdr:to>
    <xdr:cxnSp macro="">
      <xdr:nvCxnSpPr>
        <xdr:cNvPr id="140" name="Curved Connector 139"/>
        <xdr:cNvCxnSpPr/>
      </xdr:nvCxnSpPr>
      <xdr:spPr>
        <a:xfrm rot="5400000">
          <a:off x="519113" y="12901613"/>
          <a:ext cx="295275" cy="266700"/>
        </a:xfrm>
        <a:prstGeom prst="curvedConnector3">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71</xdr:row>
      <xdr:rowOff>19050</xdr:rowOff>
    </xdr:from>
    <xdr:to>
      <xdr:col>1</xdr:col>
      <xdr:colOff>123825</xdr:colOff>
      <xdr:row>71</xdr:row>
      <xdr:rowOff>180975</xdr:rowOff>
    </xdr:to>
    <xdr:sp macro="" textlink="">
      <xdr:nvSpPr>
        <xdr:cNvPr id="141" name="Isosceles Triangle 140"/>
        <xdr:cNvSpPr/>
      </xdr:nvSpPr>
      <xdr:spPr>
        <a:xfrm flipV="1">
          <a:off x="114300" y="13773150"/>
          <a:ext cx="190500" cy="161925"/>
        </a:xfrm>
        <a:prstGeom prst="triangl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161925</xdr:colOff>
      <xdr:row>63</xdr:row>
      <xdr:rowOff>19050</xdr:rowOff>
    </xdr:from>
    <xdr:to>
      <xdr:col>1</xdr:col>
      <xdr:colOff>171450</xdr:colOff>
      <xdr:row>63</xdr:row>
      <xdr:rowOff>180975</xdr:rowOff>
    </xdr:to>
    <xdr:sp macro="" textlink="">
      <xdr:nvSpPr>
        <xdr:cNvPr id="184" name="Isosceles Triangle 183"/>
        <xdr:cNvSpPr/>
      </xdr:nvSpPr>
      <xdr:spPr>
        <a:xfrm flipV="1">
          <a:off x="161925" y="12249150"/>
          <a:ext cx="190500" cy="161925"/>
        </a:xfrm>
        <a:prstGeom prst="triangl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381002</xdr:colOff>
      <xdr:row>66</xdr:row>
      <xdr:rowOff>95253</xdr:rowOff>
    </xdr:from>
    <xdr:to>
      <xdr:col>1</xdr:col>
      <xdr:colOff>609600</xdr:colOff>
      <xdr:row>72</xdr:row>
      <xdr:rowOff>28573</xdr:rowOff>
    </xdr:to>
    <xdr:cxnSp macro="">
      <xdr:nvCxnSpPr>
        <xdr:cNvPr id="143" name="Curved Connector 142"/>
        <xdr:cNvCxnSpPr/>
      </xdr:nvCxnSpPr>
      <xdr:spPr>
        <a:xfrm rot="5400000">
          <a:off x="138116" y="13320714"/>
          <a:ext cx="1076320" cy="228598"/>
        </a:xfrm>
        <a:prstGeom prst="curvedConnector3">
          <a:avLst>
            <a:gd name="adj1" fmla="val 54425"/>
          </a:avLst>
        </a:prstGeom>
        <a:ln>
          <a:headEnd type="none"/>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666750</xdr:colOff>
      <xdr:row>76</xdr:row>
      <xdr:rowOff>0</xdr:rowOff>
    </xdr:from>
    <xdr:to>
      <xdr:col>6</xdr:col>
      <xdr:colOff>104775</xdr:colOff>
      <xdr:row>76</xdr:row>
      <xdr:rowOff>0</xdr:rowOff>
    </xdr:to>
    <xdr:cxnSp macro="">
      <xdr:nvCxnSpPr>
        <xdr:cNvPr id="157" name="Straight Arrow Connector 156"/>
        <xdr:cNvCxnSpPr/>
      </xdr:nvCxnSpPr>
      <xdr:spPr>
        <a:xfrm>
          <a:off x="1552575" y="14706600"/>
          <a:ext cx="1943100"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43</xdr:row>
      <xdr:rowOff>0</xdr:rowOff>
    </xdr:from>
    <xdr:to>
      <xdr:col>5</xdr:col>
      <xdr:colOff>180975</xdr:colOff>
      <xdr:row>44</xdr:row>
      <xdr:rowOff>142875</xdr:rowOff>
    </xdr:to>
    <xdr:sp macro="" textlink="">
      <xdr:nvSpPr>
        <xdr:cNvPr id="2" name="Double Bracket 1"/>
        <xdr:cNvSpPr/>
      </xdr:nvSpPr>
      <xdr:spPr>
        <a:xfrm>
          <a:off x="2409825" y="8382000"/>
          <a:ext cx="962025" cy="33337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9525</xdr:colOff>
      <xdr:row>50</xdr:row>
      <xdr:rowOff>9525</xdr:rowOff>
    </xdr:from>
    <xdr:to>
      <xdr:col>4</xdr:col>
      <xdr:colOff>723900</xdr:colOff>
      <xdr:row>52</xdr:row>
      <xdr:rowOff>0</xdr:rowOff>
    </xdr:to>
    <xdr:sp macro="" textlink="">
      <xdr:nvSpPr>
        <xdr:cNvPr id="4" name="Double Bracket 3"/>
        <xdr:cNvSpPr/>
      </xdr:nvSpPr>
      <xdr:spPr>
        <a:xfrm>
          <a:off x="1600200" y="9725025"/>
          <a:ext cx="1466850" cy="37147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600075</xdr:colOff>
      <xdr:row>55</xdr:row>
      <xdr:rowOff>133350</xdr:rowOff>
    </xdr:from>
    <xdr:to>
      <xdr:col>6</xdr:col>
      <xdr:colOff>76200</xdr:colOff>
      <xdr:row>57</xdr:row>
      <xdr:rowOff>180975</xdr:rowOff>
    </xdr:to>
    <xdr:sp macro="" textlink="">
      <xdr:nvSpPr>
        <xdr:cNvPr id="6" name="Double Bracket 5"/>
        <xdr:cNvSpPr/>
      </xdr:nvSpPr>
      <xdr:spPr>
        <a:xfrm>
          <a:off x="2190750" y="10839450"/>
          <a:ext cx="1276350" cy="428625"/>
        </a:xfrm>
        <a:prstGeom prst="bracketPair">
          <a:avLst/>
        </a:prstGeom>
        <a:ln w="1587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28575</xdr:colOff>
      <xdr:row>50</xdr:row>
      <xdr:rowOff>85725</xdr:rowOff>
    </xdr:from>
    <xdr:to>
      <xdr:col>4</xdr:col>
      <xdr:colOff>180975</xdr:colOff>
      <xdr:row>51</xdr:row>
      <xdr:rowOff>123825</xdr:rowOff>
    </xdr:to>
    <xdr:sp macro="" textlink="">
      <xdr:nvSpPr>
        <xdr:cNvPr id="8" name="Multiply 7"/>
        <xdr:cNvSpPr/>
      </xdr:nvSpPr>
      <xdr:spPr>
        <a:xfrm>
          <a:off x="2371725" y="9801225"/>
          <a:ext cx="152400" cy="228600"/>
        </a:xfrm>
        <a:prstGeom prst="mathMultiply">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24</xdr:row>
      <xdr:rowOff>19050</xdr:rowOff>
    </xdr:from>
    <xdr:to>
      <xdr:col>5</xdr:col>
      <xdr:colOff>76200</xdr:colOff>
      <xdr:row>25</xdr:row>
      <xdr:rowOff>161925</xdr:rowOff>
    </xdr:to>
    <xdr:cxnSp macro="">
      <xdr:nvCxnSpPr>
        <xdr:cNvPr id="3" name="Straight Connector 2"/>
        <xdr:cNvCxnSpPr/>
      </xdr:nvCxnSpPr>
      <xdr:spPr>
        <a:xfrm flipH="1">
          <a:off x="2619375" y="5391150"/>
          <a:ext cx="76200" cy="3333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628650</xdr:colOff>
      <xdr:row>24</xdr:row>
      <xdr:rowOff>180975</xdr:rowOff>
    </xdr:from>
    <xdr:to>
      <xdr:col>5</xdr:col>
      <xdr:colOff>0</xdr:colOff>
      <xdr:row>25</xdr:row>
      <xdr:rowOff>161925</xdr:rowOff>
    </xdr:to>
    <xdr:cxnSp macro="">
      <xdr:nvCxnSpPr>
        <xdr:cNvPr id="4" name="Straight Connector 3"/>
        <xdr:cNvCxnSpPr/>
      </xdr:nvCxnSpPr>
      <xdr:spPr>
        <a:xfrm>
          <a:off x="2647950" y="4791075"/>
          <a:ext cx="76200" cy="171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76200</xdr:colOff>
      <xdr:row>24</xdr:row>
      <xdr:rowOff>19050</xdr:rowOff>
    </xdr:from>
    <xdr:to>
      <xdr:col>6</xdr:col>
      <xdr:colOff>85725</xdr:colOff>
      <xdr:row>24</xdr:row>
      <xdr:rowOff>19050</xdr:rowOff>
    </xdr:to>
    <xdr:cxnSp macro="">
      <xdr:nvCxnSpPr>
        <xdr:cNvPr id="7" name="Straight Connector 6"/>
        <xdr:cNvCxnSpPr/>
      </xdr:nvCxnSpPr>
      <xdr:spPr>
        <a:xfrm>
          <a:off x="2695575" y="5391150"/>
          <a:ext cx="6191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152400</xdr:colOff>
          <xdr:row>26</xdr:row>
          <xdr:rowOff>9525</xdr:rowOff>
        </xdr:from>
        <xdr:to>
          <xdr:col>5</xdr:col>
          <xdr:colOff>447675</xdr:colOff>
          <xdr:row>28</xdr:row>
          <xdr:rowOff>57150</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27</xdr:row>
          <xdr:rowOff>180975</xdr:rowOff>
        </xdr:from>
        <xdr:to>
          <xdr:col>2</xdr:col>
          <xdr:colOff>495300</xdr:colOff>
          <xdr:row>31</xdr:row>
          <xdr:rowOff>57150</xdr:rowOff>
        </xdr:to>
        <xdr:sp macro="" textlink="">
          <xdr:nvSpPr>
            <xdr:cNvPr id="6146" name="Object 2" hidden="1">
              <a:extLst>
                <a:ext uri="{63B3BB69-23CF-44E3-9099-C40C66FF867C}">
                  <a14:compatExt spid="_x0000_s6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571500</xdr:colOff>
          <xdr:row>28</xdr:row>
          <xdr:rowOff>104775</xdr:rowOff>
        </xdr:from>
        <xdr:to>
          <xdr:col>4</xdr:col>
          <xdr:colOff>0</xdr:colOff>
          <xdr:row>31</xdr:row>
          <xdr:rowOff>47625</xdr:rowOff>
        </xdr:to>
        <xdr:sp macro="" textlink="">
          <xdr:nvSpPr>
            <xdr:cNvPr id="6147" name="Object 3" hidden="1">
              <a:extLst>
                <a:ext uri="{63B3BB69-23CF-44E3-9099-C40C66FF867C}">
                  <a14:compatExt spid="_x0000_s6147"/>
                </a:ext>
              </a:extLst>
            </xdr:cNvPr>
            <xdr:cNvSpPr/>
          </xdr:nvSpPr>
          <xdr:spPr>
            <a:xfrm>
              <a:off x="0" y="0"/>
              <a:ext cx="0" cy="0"/>
            </a:xfrm>
            <a:prstGeom prst="rect">
              <a:avLst/>
            </a:prstGeom>
          </xdr:spPr>
        </xdr:sp>
        <xdr:clientData/>
      </xdr:twoCellAnchor>
    </mc:Choice>
    <mc:Fallback/>
  </mc:AlternateContent>
  <xdr:twoCellAnchor>
    <xdr:from>
      <xdr:col>3</xdr:col>
      <xdr:colOff>47625</xdr:colOff>
      <xdr:row>33</xdr:row>
      <xdr:rowOff>161925</xdr:rowOff>
    </xdr:from>
    <xdr:to>
      <xdr:col>3</xdr:col>
      <xdr:colOff>161925</xdr:colOff>
      <xdr:row>34</xdr:row>
      <xdr:rowOff>17144</xdr:rowOff>
    </xdr:to>
    <xdr:grpSp>
      <xdr:nvGrpSpPr>
        <xdr:cNvPr id="19" name="Group 18"/>
        <xdr:cNvGrpSpPr/>
      </xdr:nvGrpSpPr>
      <xdr:grpSpPr>
        <a:xfrm>
          <a:off x="1457325" y="6524625"/>
          <a:ext cx="114300" cy="45719"/>
          <a:chOff x="2009775" y="7658100"/>
          <a:chExt cx="283844" cy="76200"/>
        </a:xfrm>
      </xdr:grpSpPr>
      <xdr:cxnSp macro="">
        <xdr:nvCxnSpPr>
          <xdr:cNvPr id="16" name="Straight Connector 15"/>
          <xdr:cNvCxnSpPr/>
        </xdr:nvCxnSpPr>
        <xdr:spPr>
          <a:xfrm>
            <a:off x="2009775" y="7658100"/>
            <a:ext cx="27432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8" name="Straight Connector 17"/>
          <xdr:cNvCxnSpPr/>
        </xdr:nvCxnSpPr>
        <xdr:spPr>
          <a:xfrm flipV="1">
            <a:off x="2019299" y="7734300"/>
            <a:ext cx="27432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0</xdr:col>
      <xdr:colOff>114299</xdr:colOff>
      <xdr:row>33</xdr:row>
      <xdr:rowOff>9525</xdr:rowOff>
    </xdr:from>
    <xdr:to>
      <xdr:col>9</xdr:col>
      <xdr:colOff>647700</xdr:colOff>
      <xdr:row>35</xdr:row>
      <xdr:rowOff>28575</xdr:rowOff>
    </xdr:to>
    <xdr:sp macro="" textlink="">
      <xdr:nvSpPr>
        <xdr:cNvPr id="20" name="Double Bracket 19"/>
        <xdr:cNvSpPr/>
      </xdr:nvSpPr>
      <xdr:spPr>
        <a:xfrm>
          <a:off x="114299" y="7134225"/>
          <a:ext cx="4895851" cy="400050"/>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95250</xdr:colOff>
      <xdr:row>28</xdr:row>
      <xdr:rowOff>152400</xdr:rowOff>
    </xdr:from>
    <xdr:to>
      <xdr:col>7</xdr:col>
      <xdr:colOff>304800</xdr:colOff>
      <xdr:row>31</xdr:row>
      <xdr:rowOff>0</xdr:rowOff>
    </xdr:to>
    <xdr:sp macro="" textlink="">
      <xdr:nvSpPr>
        <xdr:cNvPr id="2" name="Double Bracket 1"/>
        <xdr:cNvSpPr/>
      </xdr:nvSpPr>
      <xdr:spPr>
        <a:xfrm>
          <a:off x="2114550" y="5524500"/>
          <a:ext cx="1676400" cy="4381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571500</xdr:colOff>
      <xdr:row>28</xdr:row>
      <xdr:rowOff>95250</xdr:rowOff>
    </xdr:from>
    <xdr:to>
      <xdr:col>3</xdr:col>
      <xdr:colOff>466725</xdr:colOff>
      <xdr:row>31</xdr:row>
      <xdr:rowOff>9525</xdr:rowOff>
    </xdr:to>
    <xdr:sp macro="" textlink="">
      <xdr:nvSpPr>
        <xdr:cNvPr id="5" name="Double Bracket 4"/>
        <xdr:cNvSpPr/>
      </xdr:nvSpPr>
      <xdr:spPr>
        <a:xfrm>
          <a:off x="1362075" y="5467350"/>
          <a:ext cx="514350" cy="50482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3</xdr:col>
      <xdr:colOff>104775</xdr:colOff>
      <xdr:row>36</xdr:row>
      <xdr:rowOff>28575</xdr:rowOff>
    </xdr:from>
    <xdr:to>
      <xdr:col>3</xdr:col>
      <xdr:colOff>523875</xdr:colOff>
      <xdr:row>37</xdr:row>
      <xdr:rowOff>171450</xdr:rowOff>
    </xdr:to>
    <xdr:sp macro="" textlink="">
      <xdr:nvSpPr>
        <xdr:cNvPr id="6" name="Double Bracket 5"/>
        <xdr:cNvSpPr/>
      </xdr:nvSpPr>
      <xdr:spPr>
        <a:xfrm>
          <a:off x="1514475" y="6962775"/>
          <a:ext cx="419100" cy="33337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457200</xdr:colOff>
      <xdr:row>33</xdr:row>
      <xdr:rowOff>66675</xdr:rowOff>
    </xdr:from>
    <xdr:to>
      <xdr:col>5</xdr:col>
      <xdr:colOff>38099</xdr:colOff>
      <xdr:row>34</xdr:row>
      <xdr:rowOff>104775</xdr:rowOff>
    </xdr:to>
    <xdr:sp macro="" textlink="">
      <xdr:nvSpPr>
        <xdr:cNvPr id="17" name="Multiply 16"/>
        <xdr:cNvSpPr/>
      </xdr:nvSpPr>
      <xdr:spPr>
        <a:xfrm>
          <a:off x="2476500" y="6429375"/>
          <a:ext cx="285749" cy="228600"/>
        </a:xfrm>
        <a:prstGeom prst="mathMultiply">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514350</xdr:colOff>
      <xdr:row>29</xdr:row>
      <xdr:rowOff>9525</xdr:rowOff>
    </xdr:from>
    <xdr:to>
      <xdr:col>3</xdr:col>
      <xdr:colOff>590550</xdr:colOff>
      <xdr:row>30</xdr:row>
      <xdr:rowOff>152400</xdr:rowOff>
    </xdr:to>
    <xdr:cxnSp macro="">
      <xdr:nvCxnSpPr>
        <xdr:cNvPr id="2" name="Straight Connector 1"/>
        <xdr:cNvCxnSpPr/>
      </xdr:nvCxnSpPr>
      <xdr:spPr>
        <a:xfrm flipH="1">
          <a:off x="1924050" y="5534025"/>
          <a:ext cx="76200" cy="3333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428625</xdr:colOff>
      <xdr:row>29</xdr:row>
      <xdr:rowOff>142875</xdr:rowOff>
    </xdr:from>
    <xdr:to>
      <xdr:col>3</xdr:col>
      <xdr:colOff>504825</xdr:colOff>
      <xdr:row>30</xdr:row>
      <xdr:rowOff>133350</xdr:rowOff>
    </xdr:to>
    <xdr:cxnSp macro="">
      <xdr:nvCxnSpPr>
        <xdr:cNvPr id="3" name="Straight Connector 2"/>
        <xdr:cNvCxnSpPr/>
      </xdr:nvCxnSpPr>
      <xdr:spPr>
        <a:xfrm>
          <a:off x="1838325" y="5667375"/>
          <a:ext cx="76200"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590549</xdr:colOff>
      <xdr:row>29</xdr:row>
      <xdr:rowOff>0</xdr:rowOff>
    </xdr:from>
    <xdr:to>
      <xdr:col>4</xdr:col>
      <xdr:colOff>630554</xdr:colOff>
      <xdr:row>29</xdr:row>
      <xdr:rowOff>0</xdr:rowOff>
    </xdr:to>
    <xdr:cxnSp macro="">
      <xdr:nvCxnSpPr>
        <xdr:cNvPr id="4" name="Straight Connector 3"/>
        <xdr:cNvCxnSpPr/>
      </xdr:nvCxnSpPr>
      <xdr:spPr>
        <a:xfrm>
          <a:off x="2000249" y="5524500"/>
          <a:ext cx="64008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171450</xdr:colOff>
      <xdr:row>48</xdr:row>
      <xdr:rowOff>0</xdr:rowOff>
    </xdr:from>
    <xdr:to>
      <xdr:col>2</xdr:col>
      <xdr:colOff>0</xdr:colOff>
      <xdr:row>48</xdr:row>
      <xdr:rowOff>0</xdr:rowOff>
    </xdr:to>
    <xdr:cxnSp macro="">
      <xdr:nvCxnSpPr>
        <xdr:cNvPr id="6" name="Straight Connector 5"/>
        <xdr:cNvCxnSpPr/>
      </xdr:nvCxnSpPr>
      <xdr:spPr>
        <a:xfrm>
          <a:off x="352425" y="8991600"/>
          <a:ext cx="4381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171450</xdr:colOff>
      <xdr:row>49</xdr:row>
      <xdr:rowOff>0</xdr:rowOff>
    </xdr:from>
    <xdr:to>
      <xdr:col>2</xdr:col>
      <xdr:colOff>0</xdr:colOff>
      <xdr:row>49</xdr:row>
      <xdr:rowOff>0</xdr:rowOff>
    </xdr:to>
    <xdr:cxnSp macro="">
      <xdr:nvCxnSpPr>
        <xdr:cNvPr id="7" name="Straight Connector 6"/>
        <xdr:cNvCxnSpPr/>
      </xdr:nvCxnSpPr>
      <xdr:spPr>
        <a:xfrm>
          <a:off x="352425" y="9182100"/>
          <a:ext cx="4381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581025</xdr:colOff>
      <xdr:row>46</xdr:row>
      <xdr:rowOff>180975</xdr:rowOff>
    </xdr:from>
    <xdr:to>
      <xdr:col>2</xdr:col>
      <xdr:colOff>457200</xdr:colOff>
      <xdr:row>50</xdr:row>
      <xdr:rowOff>76200</xdr:rowOff>
    </xdr:to>
    <xdr:sp macro="" textlink="">
      <xdr:nvSpPr>
        <xdr:cNvPr id="8" name="Arc 7"/>
        <xdr:cNvSpPr/>
      </xdr:nvSpPr>
      <xdr:spPr>
        <a:xfrm>
          <a:off x="762000" y="8791575"/>
          <a:ext cx="485775" cy="657225"/>
        </a:xfrm>
        <a:prstGeom prst="arc">
          <a:avLst>
            <a:gd name="adj1" fmla="val 12675821"/>
            <a:gd name="adj2" fmla="val 1642399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238125</xdr:colOff>
      <xdr:row>46</xdr:row>
      <xdr:rowOff>180975</xdr:rowOff>
    </xdr:from>
    <xdr:to>
      <xdr:col>3</xdr:col>
      <xdr:colOff>85725</xdr:colOff>
      <xdr:row>46</xdr:row>
      <xdr:rowOff>180975</xdr:rowOff>
    </xdr:to>
    <xdr:cxnSp macro="">
      <xdr:nvCxnSpPr>
        <xdr:cNvPr id="13" name="Straight Connector 12"/>
        <xdr:cNvCxnSpPr/>
      </xdr:nvCxnSpPr>
      <xdr:spPr>
        <a:xfrm>
          <a:off x="1028700" y="8791575"/>
          <a:ext cx="4667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171450</xdr:colOff>
      <xdr:row>50</xdr:row>
      <xdr:rowOff>76200</xdr:rowOff>
    </xdr:from>
    <xdr:to>
      <xdr:col>3</xdr:col>
      <xdr:colOff>123825</xdr:colOff>
      <xdr:row>50</xdr:row>
      <xdr:rowOff>76200</xdr:rowOff>
    </xdr:to>
    <xdr:cxnSp macro="">
      <xdr:nvCxnSpPr>
        <xdr:cNvPr id="14" name="Straight Connector 13"/>
        <xdr:cNvCxnSpPr/>
      </xdr:nvCxnSpPr>
      <xdr:spPr>
        <a:xfrm>
          <a:off x="962025" y="9448800"/>
          <a:ext cx="5715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133894</xdr:colOff>
      <xdr:row>47</xdr:row>
      <xdr:rowOff>123825</xdr:rowOff>
    </xdr:from>
    <xdr:to>
      <xdr:col>3</xdr:col>
      <xdr:colOff>114300</xdr:colOff>
      <xdr:row>49</xdr:row>
      <xdr:rowOff>133670</xdr:rowOff>
    </xdr:to>
    <xdr:grpSp>
      <xdr:nvGrpSpPr>
        <xdr:cNvPr id="23" name="Group 22"/>
        <xdr:cNvGrpSpPr/>
      </xdr:nvGrpSpPr>
      <xdr:grpSpPr>
        <a:xfrm>
          <a:off x="924469" y="9115425"/>
          <a:ext cx="599531" cy="390845"/>
          <a:chOff x="1429294" y="8991600"/>
          <a:chExt cx="774791" cy="390845"/>
        </a:xfrm>
      </xdr:grpSpPr>
      <xdr:sp macro="" textlink="">
        <xdr:nvSpPr>
          <xdr:cNvPr id="19" name="Arc 18"/>
          <xdr:cNvSpPr/>
        </xdr:nvSpPr>
        <xdr:spPr>
          <a:xfrm>
            <a:off x="1429294" y="8991600"/>
            <a:ext cx="499654" cy="390845"/>
          </a:xfrm>
          <a:prstGeom prst="arc">
            <a:avLst>
              <a:gd name="adj1" fmla="val 6702220"/>
              <a:gd name="adj2" fmla="val 1642399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1" name="Straight Connector 20"/>
          <xdr:cNvCxnSpPr/>
        </xdr:nvCxnSpPr>
        <xdr:spPr>
          <a:xfrm>
            <a:off x="1693817" y="8991600"/>
            <a:ext cx="48006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22" name="Straight Connector 21"/>
          <xdr:cNvCxnSpPr/>
        </xdr:nvCxnSpPr>
        <xdr:spPr>
          <a:xfrm>
            <a:off x="1616256" y="9371116"/>
            <a:ext cx="587829"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2</xdr:col>
      <xdr:colOff>276225</xdr:colOff>
      <xdr:row>49</xdr:row>
      <xdr:rowOff>123824</xdr:rowOff>
    </xdr:from>
    <xdr:to>
      <xdr:col>2</xdr:col>
      <xdr:colOff>419100</xdr:colOff>
      <xdr:row>50</xdr:row>
      <xdr:rowOff>76200</xdr:rowOff>
    </xdr:to>
    <xdr:grpSp>
      <xdr:nvGrpSpPr>
        <xdr:cNvPr id="26" name="Group 25"/>
        <xdr:cNvGrpSpPr/>
      </xdr:nvGrpSpPr>
      <xdr:grpSpPr>
        <a:xfrm>
          <a:off x="1066800" y="9496424"/>
          <a:ext cx="142875" cy="142876"/>
          <a:chOff x="2009775" y="9372600"/>
          <a:chExt cx="161925" cy="190500"/>
        </a:xfrm>
      </xdr:grpSpPr>
      <xdr:sp macro="" textlink="">
        <xdr:nvSpPr>
          <xdr:cNvPr id="24" name="Rectangle 23"/>
          <xdr:cNvSpPr/>
        </xdr:nvSpPr>
        <xdr:spPr>
          <a:xfrm>
            <a:off x="2009775" y="9372600"/>
            <a:ext cx="161925" cy="1905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Flowchart: Collate 24"/>
          <xdr:cNvSpPr/>
        </xdr:nvSpPr>
        <xdr:spPr>
          <a:xfrm>
            <a:off x="2009775" y="9382125"/>
            <a:ext cx="152400" cy="180975"/>
          </a:xfrm>
          <a:prstGeom prst="flowChartCollat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grpSp>
    <xdr:clientData/>
  </xdr:twoCellAnchor>
  <xdr:twoCellAnchor>
    <xdr:from>
      <xdr:col>2</xdr:col>
      <xdr:colOff>295275</xdr:colOff>
      <xdr:row>46</xdr:row>
      <xdr:rowOff>180975</xdr:rowOff>
    </xdr:from>
    <xdr:to>
      <xdr:col>2</xdr:col>
      <xdr:colOff>438150</xdr:colOff>
      <xdr:row>47</xdr:row>
      <xdr:rowOff>133351</xdr:rowOff>
    </xdr:to>
    <xdr:grpSp>
      <xdr:nvGrpSpPr>
        <xdr:cNvPr id="27" name="Group 26"/>
        <xdr:cNvGrpSpPr/>
      </xdr:nvGrpSpPr>
      <xdr:grpSpPr>
        <a:xfrm>
          <a:off x="1085850" y="8982075"/>
          <a:ext cx="142875" cy="142876"/>
          <a:chOff x="2009775" y="9372600"/>
          <a:chExt cx="161925" cy="190500"/>
        </a:xfrm>
      </xdr:grpSpPr>
      <xdr:sp macro="" textlink="">
        <xdr:nvSpPr>
          <xdr:cNvPr id="28" name="Rectangle 27"/>
          <xdr:cNvSpPr/>
        </xdr:nvSpPr>
        <xdr:spPr>
          <a:xfrm>
            <a:off x="2009775" y="9372600"/>
            <a:ext cx="161925" cy="1905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9" name="Flowchart: Collate 28"/>
          <xdr:cNvSpPr/>
        </xdr:nvSpPr>
        <xdr:spPr>
          <a:xfrm>
            <a:off x="2009775" y="9382125"/>
            <a:ext cx="152400" cy="180975"/>
          </a:xfrm>
          <a:prstGeom prst="flowChartCollat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grpSp>
    <xdr:clientData/>
  </xdr:twoCellAnchor>
  <xdr:twoCellAnchor>
    <xdr:from>
      <xdr:col>3</xdr:col>
      <xdr:colOff>95250</xdr:colOff>
      <xdr:row>46</xdr:row>
      <xdr:rowOff>180975</xdr:rowOff>
    </xdr:from>
    <xdr:to>
      <xdr:col>3</xdr:col>
      <xdr:colOff>95250</xdr:colOff>
      <xdr:row>47</xdr:row>
      <xdr:rowOff>123825</xdr:rowOff>
    </xdr:to>
    <xdr:cxnSp macro="">
      <xdr:nvCxnSpPr>
        <xdr:cNvPr id="31" name="Straight Connector 30"/>
        <xdr:cNvCxnSpPr/>
      </xdr:nvCxnSpPr>
      <xdr:spPr>
        <a:xfrm>
          <a:off x="1504950" y="8791575"/>
          <a:ext cx="0" cy="133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114300</xdr:colOff>
      <xdr:row>49</xdr:row>
      <xdr:rowOff>123825</xdr:rowOff>
    </xdr:from>
    <xdr:to>
      <xdr:col>3</xdr:col>
      <xdr:colOff>114300</xdr:colOff>
      <xdr:row>50</xdr:row>
      <xdr:rowOff>66675</xdr:rowOff>
    </xdr:to>
    <xdr:cxnSp macro="">
      <xdr:nvCxnSpPr>
        <xdr:cNvPr id="32" name="Straight Connector 31"/>
        <xdr:cNvCxnSpPr/>
      </xdr:nvCxnSpPr>
      <xdr:spPr>
        <a:xfrm>
          <a:off x="1524000" y="9305925"/>
          <a:ext cx="0" cy="133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581024</xdr:colOff>
      <xdr:row>49</xdr:row>
      <xdr:rowOff>0</xdr:rowOff>
    </xdr:from>
    <xdr:to>
      <xdr:col>2</xdr:col>
      <xdr:colOff>400049</xdr:colOff>
      <xdr:row>53</xdr:row>
      <xdr:rowOff>47625</xdr:rowOff>
    </xdr:to>
    <xdr:sp macro="" textlink="">
      <xdr:nvSpPr>
        <xdr:cNvPr id="33" name="Arc 32"/>
        <xdr:cNvSpPr/>
      </xdr:nvSpPr>
      <xdr:spPr>
        <a:xfrm>
          <a:off x="761999" y="9182100"/>
          <a:ext cx="428625" cy="809625"/>
        </a:xfrm>
        <a:prstGeom prst="arc">
          <a:avLst>
            <a:gd name="adj1" fmla="val 12675821"/>
            <a:gd name="adj2" fmla="val 16403105"/>
          </a:avLst>
        </a:prstGeom>
        <a:scene3d>
          <a:camera prst="orthographicFront">
            <a:rot lat="9600000" lon="0" rev="0"/>
          </a:camera>
          <a:lightRig rig="threePt" dir="t"/>
        </a:scene3d>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19050</xdr:colOff>
          <xdr:row>29</xdr:row>
          <xdr:rowOff>76200</xdr:rowOff>
        </xdr:from>
        <xdr:to>
          <xdr:col>8</xdr:col>
          <xdr:colOff>390525</xdr:colOff>
          <xdr:row>30</xdr:row>
          <xdr:rowOff>142875</xdr:rowOff>
        </xdr:to>
        <xdr:sp macro="" textlink="">
          <xdr:nvSpPr>
            <xdr:cNvPr id="8193" name="Object 1" hidden="1">
              <a:extLst>
                <a:ext uri="{63B3BB69-23CF-44E3-9099-C40C66FF867C}">
                  <a14:compatExt spid="_x0000_s8193"/>
                </a:ext>
              </a:extLst>
            </xdr:cNvPr>
            <xdr:cNvSpPr/>
          </xdr:nvSpPr>
          <xdr:spPr>
            <a:xfrm>
              <a:off x="0" y="0"/>
              <a:ext cx="0" cy="0"/>
            </a:xfrm>
            <a:prstGeom prst="rect">
              <a:avLst/>
            </a:prstGeom>
          </xdr:spPr>
        </xdr:sp>
        <xdr:clientData/>
      </xdr:twoCellAnchor>
    </mc:Choice>
    <mc:Fallback/>
  </mc:AlternateContent>
  <xdr:twoCellAnchor>
    <xdr:from>
      <xdr:col>8</xdr:col>
      <xdr:colOff>190500</xdr:colOff>
      <xdr:row>31</xdr:row>
      <xdr:rowOff>0</xdr:rowOff>
    </xdr:from>
    <xdr:to>
      <xdr:col>8</xdr:col>
      <xdr:colOff>276225</xdr:colOff>
      <xdr:row>32</xdr:row>
      <xdr:rowOff>19050</xdr:rowOff>
    </xdr:to>
    <xdr:cxnSp macro="">
      <xdr:nvCxnSpPr>
        <xdr:cNvPr id="3" name="Straight Connector 2"/>
        <xdr:cNvCxnSpPr/>
      </xdr:nvCxnSpPr>
      <xdr:spPr>
        <a:xfrm flipH="1">
          <a:off x="4057650" y="5905500"/>
          <a:ext cx="85725" cy="209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276225</xdr:colOff>
      <xdr:row>31</xdr:row>
      <xdr:rowOff>0</xdr:rowOff>
    </xdr:from>
    <xdr:to>
      <xdr:col>9</xdr:col>
      <xdr:colOff>152400</xdr:colOff>
      <xdr:row>31</xdr:row>
      <xdr:rowOff>0</xdr:rowOff>
    </xdr:to>
    <xdr:cxnSp macro="">
      <xdr:nvCxnSpPr>
        <xdr:cNvPr id="5" name="Straight Connector 4"/>
        <xdr:cNvCxnSpPr/>
      </xdr:nvCxnSpPr>
      <xdr:spPr>
        <a:xfrm>
          <a:off x="4143375" y="5905500"/>
          <a:ext cx="5524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161925</xdr:colOff>
      <xdr:row>31</xdr:row>
      <xdr:rowOff>66675</xdr:rowOff>
    </xdr:from>
    <xdr:to>
      <xdr:col>8</xdr:col>
      <xdr:colOff>190500</xdr:colOff>
      <xdr:row>32</xdr:row>
      <xdr:rowOff>9525</xdr:rowOff>
    </xdr:to>
    <xdr:cxnSp macro="">
      <xdr:nvCxnSpPr>
        <xdr:cNvPr id="7" name="Straight Connector 6"/>
        <xdr:cNvCxnSpPr/>
      </xdr:nvCxnSpPr>
      <xdr:spPr>
        <a:xfrm>
          <a:off x="4029075" y="5972175"/>
          <a:ext cx="28575" cy="133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xdr:col>
          <xdr:colOff>352425</xdr:colOff>
          <xdr:row>45</xdr:row>
          <xdr:rowOff>0</xdr:rowOff>
        </xdr:from>
        <xdr:to>
          <xdr:col>6</xdr:col>
          <xdr:colOff>76200</xdr:colOff>
          <xdr:row>47</xdr:row>
          <xdr:rowOff>0</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xdr:twoCellAnchor>
    <xdr:from>
      <xdr:col>1</xdr:col>
      <xdr:colOff>219075</xdr:colOff>
      <xdr:row>54</xdr:row>
      <xdr:rowOff>133351</xdr:rowOff>
    </xdr:from>
    <xdr:to>
      <xdr:col>8</xdr:col>
      <xdr:colOff>447674</xdr:colOff>
      <xdr:row>56</xdr:row>
      <xdr:rowOff>66675</xdr:rowOff>
    </xdr:to>
    <xdr:sp macro="" textlink="">
      <xdr:nvSpPr>
        <xdr:cNvPr id="8" name="Double Brace 7"/>
        <xdr:cNvSpPr/>
      </xdr:nvSpPr>
      <xdr:spPr>
        <a:xfrm>
          <a:off x="514350" y="9877426"/>
          <a:ext cx="3790949" cy="352424"/>
        </a:xfrm>
        <a:prstGeom prst="brace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b="0"/>
        </a:p>
      </xdr:txBody>
    </xdr:sp>
    <xdr:clientData/>
  </xdr:twoCellAnchor>
  <mc:AlternateContent xmlns:mc="http://schemas.openxmlformats.org/markup-compatibility/2006">
    <mc:Choice xmlns:a14="http://schemas.microsoft.com/office/drawing/2010/main" Requires="a14">
      <xdr:twoCellAnchor editAs="oneCell">
        <xdr:from>
          <xdr:col>1</xdr:col>
          <xdr:colOff>428625</xdr:colOff>
          <xdr:row>59</xdr:row>
          <xdr:rowOff>180975</xdr:rowOff>
        </xdr:from>
        <xdr:to>
          <xdr:col>3</xdr:col>
          <xdr:colOff>409575</xdr:colOff>
          <xdr:row>62</xdr:row>
          <xdr:rowOff>0</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61</xdr:row>
          <xdr:rowOff>180975</xdr:rowOff>
        </xdr:from>
        <xdr:to>
          <xdr:col>3</xdr:col>
          <xdr:colOff>419100</xdr:colOff>
          <xdr:row>64</xdr:row>
          <xdr:rowOff>28575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xdr:twoCellAnchor>
    <xdr:from>
      <xdr:col>6</xdr:col>
      <xdr:colOff>161926</xdr:colOff>
      <xdr:row>45</xdr:row>
      <xdr:rowOff>9525</xdr:rowOff>
    </xdr:from>
    <xdr:to>
      <xdr:col>9</xdr:col>
      <xdr:colOff>9526</xdr:colOff>
      <xdr:row>47</xdr:row>
      <xdr:rowOff>0</xdr:rowOff>
    </xdr:to>
    <xdr:sp macro="" textlink="">
      <xdr:nvSpPr>
        <xdr:cNvPr id="2" name="Double Bracket 1"/>
        <xdr:cNvSpPr/>
      </xdr:nvSpPr>
      <xdr:spPr>
        <a:xfrm>
          <a:off x="2828926" y="8582025"/>
          <a:ext cx="1771650" cy="37147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4</xdr:col>
      <xdr:colOff>9525</xdr:colOff>
      <xdr:row>59</xdr:row>
      <xdr:rowOff>171450</xdr:rowOff>
    </xdr:from>
    <xdr:to>
      <xdr:col>7</xdr:col>
      <xdr:colOff>390525</xdr:colOff>
      <xdr:row>61</xdr:row>
      <xdr:rowOff>161925</xdr:rowOff>
    </xdr:to>
    <xdr:sp macro="" textlink="">
      <xdr:nvSpPr>
        <xdr:cNvPr id="4" name="Double Bracket 3"/>
        <xdr:cNvSpPr/>
      </xdr:nvSpPr>
      <xdr:spPr>
        <a:xfrm>
          <a:off x="2057400" y="11477625"/>
          <a:ext cx="1638300" cy="371475"/>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219075</xdr:colOff>
      <xdr:row>29</xdr:row>
      <xdr:rowOff>28575</xdr:rowOff>
    </xdr:from>
    <xdr:to>
      <xdr:col>8</xdr:col>
      <xdr:colOff>457200</xdr:colOff>
      <xdr:row>30</xdr:row>
      <xdr:rowOff>161925</xdr:rowOff>
    </xdr:to>
    <xdr:sp macro="" textlink="">
      <xdr:nvSpPr>
        <xdr:cNvPr id="6" name="Double Bracket 5"/>
        <xdr:cNvSpPr/>
      </xdr:nvSpPr>
      <xdr:spPr>
        <a:xfrm>
          <a:off x="2886075" y="5553075"/>
          <a:ext cx="1485900" cy="3238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238125</xdr:colOff>
      <xdr:row>31</xdr:row>
      <xdr:rowOff>9525</xdr:rowOff>
    </xdr:from>
    <xdr:to>
      <xdr:col>9</xdr:col>
      <xdr:colOff>238125</xdr:colOff>
      <xdr:row>32</xdr:row>
      <xdr:rowOff>19050</xdr:rowOff>
    </xdr:to>
    <xdr:sp macro="" textlink="">
      <xdr:nvSpPr>
        <xdr:cNvPr id="9" name="Double Bracket 8"/>
        <xdr:cNvSpPr/>
      </xdr:nvSpPr>
      <xdr:spPr>
        <a:xfrm>
          <a:off x="2905125" y="5915025"/>
          <a:ext cx="1924050" cy="200025"/>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6</xdr:col>
      <xdr:colOff>238125</xdr:colOff>
      <xdr:row>32</xdr:row>
      <xdr:rowOff>28575</xdr:rowOff>
    </xdr:from>
    <xdr:to>
      <xdr:col>9</xdr:col>
      <xdr:colOff>95250</xdr:colOff>
      <xdr:row>32</xdr:row>
      <xdr:rowOff>180975</xdr:rowOff>
    </xdr:to>
    <xdr:sp macro="" textlink="">
      <xdr:nvSpPr>
        <xdr:cNvPr id="10" name="Double Bracket 9"/>
        <xdr:cNvSpPr/>
      </xdr:nvSpPr>
      <xdr:spPr>
        <a:xfrm>
          <a:off x="2905125" y="6124575"/>
          <a:ext cx="1781175" cy="15240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19050</xdr:colOff>
          <xdr:row>20</xdr:row>
          <xdr:rowOff>76200</xdr:rowOff>
        </xdr:from>
        <xdr:to>
          <xdr:col>8</xdr:col>
          <xdr:colOff>390525</xdr:colOff>
          <xdr:row>21</xdr:row>
          <xdr:rowOff>142875</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8</xdr:col>
      <xdr:colOff>190500</xdr:colOff>
      <xdr:row>22</xdr:row>
      <xdr:rowOff>0</xdr:rowOff>
    </xdr:from>
    <xdr:to>
      <xdr:col>8</xdr:col>
      <xdr:colOff>276225</xdr:colOff>
      <xdr:row>23</xdr:row>
      <xdr:rowOff>19050</xdr:rowOff>
    </xdr:to>
    <xdr:cxnSp macro="">
      <xdr:nvCxnSpPr>
        <xdr:cNvPr id="3" name="Straight Connector 2"/>
        <xdr:cNvCxnSpPr/>
      </xdr:nvCxnSpPr>
      <xdr:spPr>
        <a:xfrm flipH="1">
          <a:off x="4105275" y="5905500"/>
          <a:ext cx="85725" cy="209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276225</xdr:colOff>
      <xdr:row>22</xdr:row>
      <xdr:rowOff>0</xdr:rowOff>
    </xdr:from>
    <xdr:to>
      <xdr:col>9</xdr:col>
      <xdr:colOff>152400</xdr:colOff>
      <xdr:row>22</xdr:row>
      <xdr:rowOff>0</xdr:rowOff>
    </xdr:to>
    <xdr:cxnSp macro="">
      <xdr:nvCxnSpPr>
        <xdr:cNvPr id="4" name="Straight Connector 3"/>
        <xdr:cNvCxnSpPr/>
      </xdr:nvCxnSpPr>
      <xdr:spPr>
        <a:xfrm>
          <a:off x="4191000" y="5905500"/>
          <a:ext cx="5524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161925</xdr:colOff>
      <xdr:row>22</xdr:row>
      <xdr:rowOff>66675</xdr:rowOff>
    </xdr:from>
    <xdr:to>
      <xdr:col>8</xdr:col>
      <xdr:colOff>190500</xdr:colOff>
      <xdr:row>23</xdr:row>
      <xdr:rowOff>9525</xdr:rowOff>
    </xdr:to>
    <xdr:cxnSp macro="">
      <xdr:nvCxnSpPr>
        <xdr:cNvPr id="5" name="Straight Connector 4"/>
        <xdr:cNvCxnSpPr/>
      </xdr:nvCxnSpPr>
      <xdr:spPr>
        <a:xfrm>
          <a:off x="4076700" y="5972175"/>
          <a:ext cx="28575" cy="133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180975</xdr:colOff>
      <xdr:row>20</xdr:row>
      <xdr:rowOff>28575</xdr:rowOff>
    </xdr:from>
    <xdr:to>
      <xdr:col>8</xdr:col>
      <xdr:colOff>476250</xdr:colOff>
      <xdr:row>21</xdr:row>
      <xdr:rowOff>180975</xdr:rowOff>
    </xdr:to>
    <xdr:sp macro="" textlink="">
      <xdr:nvSpPr>
        <xdr:cNvPr id="2" name="Double Bracket 1"/>
        <xdr:cNvSpPr/>
      </xdr:nvSpPr>
      <xdr:spPr>
        <a:xfrm>
          <a:off x="3000375" y="3838575"/>
          <a:ext cx="1600200" cy="34290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266700</xdr:colOff>
      <xdr:row>35</xdr:row>
      <xdr:rowOff>180975</xdr:rowOff>
    </xdr:from>
    <xdr:to>
      <xdr:col>4</xdr:col>
      <xdr:colOff>266700</xdr:colOff>
      <xdr:row>46</xdr:row>
      <xdr:rowOff>5715</xdr:rowOff>
    </xdr:to>
    <xdr:cxnSp macro="">
      <xdr:nvCxnSpPr>
        <xdr:cNvPr id="3" name="Straight Connector 2"/>
        <xdr:cNvCxnSpPr/>
      </xdr:nvCxnSpPr>
      <xdr:spPr>
        <a:xfrm flipH="1">
          <a:off x="2476500" y="7067550"/>
          <a:ext cx="0" cy="19202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352425</xdr:colOff>
      <xdr:row>36</xdr:row>
      <xdr:rowOff>0</xdr:rowOff>
    </xdr:from>
    <xdr:to>
      <xdr:col>4</xdr:col>
      <xdr:colOff>352425</xdr:colOff>
      <xdr:row>46</xdr:row>
      <xdr:rowOff>95250</xdr:rowOff>
    </xdr:to>
    <xdr:cxnSp macro="">
      <xdr:nvCxnSpPr>
        <xdr:cNvPr id="5" name="Straight Connector 4"/>
        <xdr:cNvCxnSpPr/>
      </xdr:nvCxnSpPr>
      <xdr:spPr>
        <a:xfrm>
          <a:off x="2628900" y="7077075"/>
          <a:ext cx="0" cy="2095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495300</xdr:colOff>
      <xdr:row>37</xdr:row>
      <xdr:rowOff>0</xdr:rowOff>
    </xdr:from>
    <xdr:to>
      <xdr:col>5</xdr:col>
      <xdr:colOff>95250</xdr:colOff>
      <xdr:row>37</xdr:row>
      <xdr:rowOff>0</xdr:rowOff>
    </xdr:to>
    <xdr:cxnSp macro="">
      <xdr:nvCxnSpPr>
        <xdr:cNvPr id="7" name="Straight Connector 6"/>
        <xdr:cNvCxnSpPr/>
      </xdr:nvCxnSpPr>
      <xdr:spPr>
        <a:xfrm>
          <a:off x="1943100" y="7267575"/>
          <a:ext cx="8191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495300</xdr:colOff>
      <xdr:row>36</xdr:row>
      <xdr:rowOff>180975</xdr:rowOff>
    </xdr:from>
    <xdr:to>
      <xdr:col>3</xdr:col>
      <xdr:colOff>495300</xdr:colOff>
      <xdr:row>38</xdr:row>
      <xdr:rowOff>9525</xdr:rowOff>
    </xdr:to>
    <xdr:cxnSp macro="">
      <xdr:nvCxnSpPr>
        <xdr:cNvPr id="9" name="Straight Connector 8"/>
        <xdr:cNvCxnSpPr/>
      </xdr:nvCxnSpPr>
      <xdr:spPr>
        <a:xfrm>
          <a:off x="1943100" y="7258050"/>
          <a:ext cx="0" cy="209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104775</xdr:colOff>
      <xdr:row>36</xdr:row>
      <xdr:rowOff>180975</xdr:rowOff>
    </xdr:from>
    <xdr:to>
      <xdr:col>5</xdr:col>
      <xdr:colOff>104775</xdr:colOff>
      <xdr:row>38</xdr:row>
      <xdr:rowOff>19050</xdr:rowOff>
    </xdr:to>
    <xdr:cxnSp macro="">
      <xdr:nvCxnSpPr>
        <xdr:cNvPr id="11" name="Straight Connector 10"/>
        <xdr:cNvCxnSpPr/>
      </xdr:nvCxnSpPr>
      <xdr:spPr>
        <a:xfrm>
          <a:off x="2771775" y="7258050"/>
          <a:ext cx="0" cy="2190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85725</xdr:colOff>
      <xdr:row>38</xdr:row>
      <xdr:rowOff>0</xdr:rowOff>
    </xdr:from>
    <xdr:to>
      <xdr:col>3</xdr:col>
      <xdr:colOff>514350</xdr:colOff>
      <xdr:row>38</xdr:row>
      <xdr:rowOff>0</xdr:rowOff>
    </xdr:to>
    <xdr:cxnSp macro="">
      <xdr:nvCxnSpPr>
        <xdr:cNvPr id="13" name="Straight Connector 12"/>
        <xdr:cNvCxnSpPr/>
      </xdr:nvCxnSpPr>
      <xdr:spPr>
        <a:xfrm>
          <a:off x="1533525" y="7458075"/>
          <a:ext cx="4286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95250</xdr:colOff>
      <xdr:row>38</xdr:row>
      <xdr:rowOff>0</xdr:rowOff>
    </xdr:from>
    <xdr:to>
      <xdr:col>6</xdr:col>
      <xdr:colOff>381000</xdr:colOff>
      <xdr:row>38</xdr:row>
      <xdr:rowOff>0</xdr:rowOff>
    </xdr:to>
    <xdr:cxnSp macro="">
      <xdr:nvCxnSpPr>
        <xdr:cNvPr id="14" name="Straight Connector 13"/>
        <xdr:cNvCxnSpPr/>
      </xdr:nvCxnSpPr>
      <xdr:spPr>
        <a:xfrm>
          <a:off x="2762250" y="7458075"/>
          <a:ext cx="4286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85725</xdr:colOff>
      <xdr:row>37</xdr:row>
      <xdr:rowOff>200025</xdr:rowOff>
    </xdr:from>
    <xdr:to>
      <xdr:col>3</xdr:col>
      <xdr:colOff>85725</xdr:colOff>
      <xdr:row>38</xdr:row>
      <xdr:rowOff>200025</xdr:rowOff>
    </xdr:to>
    <xdr:cxnSp macro="">
      <xdr:nvCxnSpPr>
        <xdr:cNvPr id="16" name="Straight Connector 15"/>
        <xdr:cNvCxnSpPr/>
      </xdr:nvCxnSpPr>
      <xdr:spPr>
        <a:xfrm>
          <a:off x="1752600" y="7467600"/>
          <a:ext cx="0" cy="209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390525</xdr:colOff>
      <xdr:row>37</xdr:row>
      <xdr:rowOff>180975</xdr:rowOff>
    </xdr:from>
    <xdr:to>
      <xdr:col>6</xdr:col>
      <xdr:colOff>390525</xdr:colOff>
      <xdr:row>39</xdr:row>
      <xdr:rowOff>0</xdr:rowOff>
    </xdr:to>
    <xdr:cxnSp macro="">
      <xdr:nvCxnSpPr>
        <xdr:cNvPr id="18" name="Straight Connector 17"/>
        <xdr:cNvCxnSpPr/>
      </xdr:nvCxnSpPr>
      <xdr:spPr>
        <a:xfrm>
          <a:off x="3200400" y="7448550"/>
          <a:ext cx="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39</xdr:row>
      <xdr:rowOff>0</xdr:rowOff>
    </xdr:from>
    <xdr:to>
      <xdr:col>3</xdr:col>
      <xdr:colOff>95250</xdr:colOff>
      <xdr:row>39</xdr:row>
      <xdr:rowOff>0</xdr:rowOff>
    </xdr:to>
    <xdr:cxnSp macro="">
      <xdr:nvCxnSpPr>
        <xdr:cNvPr id="20" name="Straight Connector 19"/>
        <xdr:cNvCxnSpPr/>
      </xdr:nvCxnSpPr>
      <xdr:spPr>
        <a:xfrm>
          <a:off x="1123950" y="7648575"/>
          <a:ext cx="419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371475</xdr:colOff>
      <xdr:row>39</xdr:row>
      <xdr:rowOff>0</xdr:rowOff>
    </xdr:from>
    <xdr:to>
      <xdr:col>7</xdr:col>
      <xdr:colOff>133350</xdr:colOff>
      <xdr:row>39</xdr:row>
      <xdr:rowOff>0</xdr:rowOff>
    </xdr:to>
    <xdr:cxnSp macro="">
      <xdr:nvCxnSpPr>
        <xdr:cNvPr id="22" name="Straight Connector 21"/>
        <xdr:cNvCxnSpPr/>
      </xdr:nvCxnSpPr>
      <xdr:spPr>
        <a:xfrm>
          <a:off x="3181350" y="7648575"/>
          <a:ext cx="419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276225</xdr:colOff>
      <xdr:row>38</xdr:row>
      <xdr:rowOff>200025</xdr:rowOff>
    </xdr:from>
    <xdr:to>
      <xdr:col>2</xdr:col>
      <xdr:colOff>276225</xdr:colOff>
      <xdr:row>40</xdr:row>
      <xdr:rowOff>19050</xdr:rowOff>
    </xdr:to>
    <xdr:cxnSp macro="">
      <xdr:nvCxnSpPr>
        <xdr:cNvPr id="25" name="Straight Connector 24"/>
        <xdr:cNvCxnSpPr/>
      </xdr:nvCxnSpPr>
      <xdr:spPr>
        <a:xfrm>
          <a:off x="1333500" y="7677150"/>
          <a:ext cx="0" cy="238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142875</xdr:colOff>
      <xdr:row>39</xdr:row>
      <xdr:rowOff>0</xdr:rowOff>
    </xdr:from>
    <xdr:to>
      <xdr:col>7</xdr:col>
      <xdr:colOff>142875</xdr:colOff>
      <xdr:row>40</xdr:row>
      <xdr:rowOff>9525</xdr:rowOff>
    </xdr:to>
    <xdr:cxnSp macro="">
      <xdr:nvCxnSpPr>
        <xdr:cNvPr id="27" name="Straight Connector 26"/>
        <xdr:cNvCxnSpPr/>
      </xdr:nvCxnSpPr>
      <xdr:spPr>
        <a:xfrm>
          <a:off x="3609975" y="7648575"/>
          <a:ext cx="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552450</xdr:colOff>
      <xdr:row>40</xdr:row>
      <xdr:rowOff>0</xdr:rowOff>
    </xdr:from>
    <xdr:to>
      <xdr:col>2</xdr:col>
      <xdr:colOff>295275</xdr:colOff>
      <xdr:row>40</xdr:row>
      <xdr:rowOff>0</xdr:rowOff>
    </xdr:to>
    <xdr:cxnSp macro="">
      <xdr:nvCxnSpPr>
        <xdr:cNvPr id="29" name="Straight Connector 28"/>
        <xdr:cNvCxnSpPr/>
      </xdr:nvCxnSpPr>
      <xdr:spPr>
        <a:xfrm>
          <a:off x="781050" y="7839075"/>
          <a:ext cx="3524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133350</xdr:colOff>
      <xdr:row>40</xdr:row>
      <xdr:rowOff>0</xdr:rowOff>
    </xdr:from>
    <xdr:to>
      <xdr:col>7</xdr:col>
      <xdr:colOff>476250</xdr:colOff>
      <xdr:row>40</xdr:row>
      <xdr:rowOff>0</xdr:rowOff>
    </xdr:to>
    <xdr:cxnSp macro="">
      <xdr:nvCxnSpPr>
        <xdr:cNvPr id="31" name="Straight Connector 30"/>
        <xdr:cNvCxnSpPr/>
      </xdr:nvCxnSpPr>
      <xdr:spPr>
        <a:xfrm>
          <a:off x="3600450" y="7839075"/>
          <a:ext cx="3429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542925</xdr:colOff>
      <xdr:row>39</xdr:row>
      <xdr:rowOff>200025</xdr:rowOff>
    </xdr:from>
    <xdr:to>
      <xdr:col>1</xdr:col>
      <xdr:colOff>542925</xdr:colOff>
      <xdr:row>41</xdr:row>
      <xdr:rowOff>19050</xdr:rowOff>
    </xdr:to>
    <xdr:cxnSp macro="">
      <xdr:nvCxnSpPr>
        <xdr:cNvPr id="35" name="Straight Connector 34"/>
        <xdr:cNvCxnSpPr/>
      </xdr:nvCxnSpPr>
      <xdr:spPr>
        <a:xfrm>
          <a:off x="990600" y="7886700"/>
          <a:ext cx="0" cy="238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466725</xdr:colOff>
      <xdr:row>39</xdr:row>
      <xdr:rowOff>180975</xdr:rowOff>
    </xdr:from>
    <xdr:to>
      <xdr:col>7</xdr:col>
      <xdr:colOff>466725</xdr:colOff>
      <xdr:row>41</xdr:row>
      <xdr:rowOff>19050</xdr:rowOff>
    </xdr:to>
    <xdr:cxnSp macro="">
      <xdr:nvCxnSpPr>
        <xdr:cNvPr id="37" name="Straight Connector 36"/>
        <xdr:cNvCxnSpPr/>
      </xdr:nvCxnSpPr>
      <xdr:spPr>
        <a:xfrm>
          <a:off x="3933825" y="7829550"/>
          <a:ext cx="0" cy="2190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257175</xdr:colOff>
      <xdr:row>41</xdr:row>
      <xdr:rowOff>0</xdr:rowOff>
    </xdr:from>
    <xdr:to>
      <xdr:col>1</xdr:col>
      <xdr:colOff>542925</xdr:colOff>
      <xdr:row>41</xdr:row>
      <xdr:rowOff>0</xdr:rowOff>
    </xdr:to>
    <xdr:cxnSp macro="">
      <xdr:nvCxnSpPr>
        <xdr:cNvPr id="39" name="Straight Connector 38"/>
        <xdr:cNvCxnSpPr/>
      </xdr:nvCxnSpPr>
      <xdr:spPr>
        <a:xfrm>
          <a:off x="485775" y="8029575"/>
          <a:ext cx="285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466725</xdr:colOff>
      <xdr:row>41</xdr:row>
      <xdr:rowOff>0</xdr:rowOff>
    </xdr:from>
    <xdr:to>
      <xdr:col>8</xdr:col>
      <xdr:colOff>200025</xdr:colOff>
      <xdr:row>41</xdr:row>
      <xdr:rowOff>0</xdr:rowOff>
    </xdr:to>
    <xdr:cxnSp macro="">
      <xdr:nvCxnSpPr>
        <xdr:cNvPr id="41" name="Straight Connector 40"/>
        <xdr:cNvCxnSpPr/>
      </xdr:nvCxnSpPr>
      <xdr:spPr>
        <a:xfrm>
          <a:off x="4152900" y="8124825"/>
          <a:ext cx="2667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247649</xdr:colOff>
      <xdr:row>41</xdr:row>
      <xdr:rowOff>0</xdr:rowOff>
    </xdr:from>
    <xdr:to>
      <xdr:col>1</xdr:col>
      <xdr:colOff>247649</xdr:colOff>
      <xdr:row>42</xdr:row>
      <xdr:rowOff>0</xdr:rowOff>
    </xdr:to>
    <xdr:cxnSp macro="">
      <xdr:nvCxnSpPr>
        <xdr:cNvPr id="43" name="Straight Connector 42"/>
        <xdr:cNvCxnSpPr/>
      </xdr:nvCxnSpPr>
      <xdr:spPr>
        <a:xfrm flipH="1">
          <a:off x="628649" y="8029575"/>
          <a:ext cx="0"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200025</xdr:colOff>
      <xdr:row>41</xdr:row>
      <xdr:rowOff>0</xdr:rowOff>
    </xdr:from>
    <xdr:to>
      <xdr:col>8</xdr:col>
      <xdr:colOff>200025</xdr:colOff>
      <xdr:row>42</xdr:row>
      <xdr:rowOff>19050</xdr:rowOff>
    </xdr:to>
    <xdr:cxnSp macro="">
      <xdr:nvCxnSpPr>
        <xdr:cNvPr id="45" name="Straight Connector 44"/>
        <xdr:cNvCxnSpPr/>
      </xdr:nvCxnSpPr>
      <xdr:spPr>
        <a:xfrm>
          <a:off x="4352925" y="8029575"/>
          <a:ext cx="0" cy="209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209550</xdr:colOff>
      <xdr:row>41</xdr:row>
      <xdr:rowOff>95250</xdr:rowOff>
    </xdr:from>
    <xdr:to>
      <xdr:col>1</xdr:col>
      <xdr:colOff>238125</xdr:colOff>
      <xdr:row>42</xdr:row>
      <xdr:rowOff>180975</xdr:rowOff>
    </xdr:to>
    <xdr:grpSp>
      <xdr:nvGrpSpPr>
        <xdr:cNvPr id="54" name="Group 53"/>
        <xdr:cNvGrpSpPr/>
      </xdr:nvGrpSpPr>
      <xdr:grpSpPr>
        <a:xfrm>
          <a:off x="209550" y="8220075"/>
          <a:ext cx="371475" cy="276225"/>
          <a:chOff x="209550" y="8124825"/>
          <a:chExt cx="409575" cy="276225"/>
        </a:xfrm>
      </xdr:grpSpPr>
      <xdr:cxnSp macro="">
        <xdr:nvCxnSpPr>
          <xdr:cNvPr id="47" name="Straight Connector 46"/>
          <xdr:cNvCxnSpPr/>
        </xdr:nvCxnSpPr>
        <xdr:spPr>
          <a:xfrm>
            <a:off x="314325" y="8220075"/>
            <a:ext cx="30480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49" name="Straight Connector 48"/>
          <xdr:cNvCxnSpPr/>
        </xdr:nvCxnSpPr>
        <xdr:spPr>
          <a:xfrm>
            <a:off x="304800" y="8134350"/>
            <a:ext cx="0" cy="85725"/>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1" name="Straight Connector 50"/>
          <xdr:cNvCxnSpPr/>
        </xdr:nvCxnSpPr>
        <xdr:spPr>
          <a:xfrm>
            <a:off x="219075" y="8134350"/>
            <a:ext cx="9525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3" name="Straight Connector 52"/>
          <xdr:cNvCxnSpPr/>
        </xdr:nvCxnSpPr>
        <xdr:spPr>
          <a:xfrm>
            <a:off x="209550" y="8124825"/>
            <a:ext cx="0" cy="276225"/>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8</xdr:col>
      <xdr:colOff>180975</xdr:colOff>
      <xdr:row>41</xdr:row>
      <xdr:rowOff>95249</xdr:rowOff>
    </xdr:from>
    <xdr:to>
      <xdr:col>9</xdr:col>
      <xdr:colOff>95250</xdr:colOff>
      <xdr:row>42</xdr:row>
      <xdr:rowOff>180974</xdr:rowOff>
    </xdr:to>
    <xdr:grpSp>
      <xdr:nvGrpSpPr>
        <xdr:cNvPr id="55" name="Group 54"/>
        <xdr:cNvGrpSpPr/>
      </xdr:nvGrpSpPr>
      <xdr:grpSpPr>
        <a:xfrm flipH="1">
          <a:off x="4295775" y="8220074"/>
          <a:ext cx="400050" cy="276225"/>
          <a:chOff x="209550" y="8124825"/>
          <a:chExt cx="409575" cy="276225"/>
        </a:xfrm>
      </xdr:grpSpPr>
      <xdr:cxnSp macro="">
        <xdr:nvCxnSpPr>
          <xdr:cNvPr id="56" name="Straight Connector 55"/>
          <xdr:cNvCxnSpPr/>
        </xdr:nvCxnSpPr>
        <xdr:spPr>
          <a:xfrm>
            <a:off x="314325" y="8220075"/>
            <a:ext cx="30480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7" name="Straight Connector 56"/>
          <xdr:cNvCxnSpPr/>
        </xdr:nvCxnSpPr>
        <xdr:spPr>
          <a:xfrm>
            <a:off x="304800" y="8134350"/>
            <a:ext cx="0" cy="85725"/>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8" name="Straight Connector 57"/>
          <xdr:cNvCxnSpPr/>
        </xdr:nvCxnSpPr>
        <xdr:spPr>
          <a:xfrm>
            <a:off x="219075" y="8134350"/>
            <a:ext cx="9525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9" name="Straight Connector 58"/>
          <xdr:cNvCxnSpPr/>
        </xdr:nvCxnSpPr>
        <xdr:spPr>
          <a:xfrm>
            <a:off x="209550" y="8124825"/>
            <a:ext cx="0" cy="276225"/>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0</xdr:col>
      <xdr:colOff>200025</xdr:colOff>
      <xdr:row>43</xdr:row>
      <xdr:rowOff>0</xdr:rowOff>
    </xdr:from>
    <xdr:to>
      <xdr:col>9</xdr:col>
      <xdr:colOff>114300</xdr:colOff>
      <xdr:row>43</xdr:row>
      <xdr:rowOff>0</xdr:rowOff>
    </xdr:to>
    <xdr:cxnSp macro="">
      <xdr:nvCxnSpPr>
        <xdr:cNvPr id="61" name="Straight Connector 60"/>
        <xdr:cNvCxnSpPr/>
      </xdr:nvCxnSpPr>
      <xdr:spPr>
        <a:xfrm>
          <a:off x="200025" y="8410575"/>
          <a:ext cx="45529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400050</xdr:colOff>
      <xdr:row>46</xdr:row>
      <xdr:rowOff>0</xdr:rowOff>
    </xdr:from>
    <xdr:to>
      <xdr:col>4</xdr:col>
      <xdr:colOff>276225</xdr:colOff>
      <xdr:row>46</xdr:row>
      <xdr:rowOff>0</xdr:rowOff>
    </xdr:to>
    <xdr:cxnSp macro="">
      <xdr:nvCxnSpPr>
        <xdr:cNvPr id="64" name="Straight Connector 63"/>
        <xdr:cNvCxnSpPr/>
      </xdr:nvCxnSpPr>
      <xdr:spPr>
        <a:xfrm>
          <a:off x="1390650" y="8982075"/>
          <a:ext cx="1095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390525</xdr:colOff>
      <xdr:row>46</xdr:row>
      <xdr:rowOff>85725</xdr:rowOff>
    </xdr:from>
    <xdr:to>
      <xdr:col>4</xdr:col>
      <xdr:colOff>352425</xdr:colOff>
      <xdr:row>46</xdr:row>
      <xdr:rowOff>85725</xdr:rowOff>
    </xdr:to>
    <xdr:cxnSp macro="">
      <xdr:nvCxnSpPr>
        <xdr:cNvPr id="65" name="Straight Connector 64"/>
        <xdr:cNvCxnSpPr/>
      </xdr:nvCxnSpPr>
      <xdr:spPr>
        <a:xfrm>
          <a:off x="1381125" y="9067800"/>
          <a:ext cx="1181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514350</xdr:colOff>
      <xdr:row>46</xdr:row>
      <xdr:rowOff>38100</xdr:rowOff>
    </xdr:from>
    <xdr:to>
      <xdr:col>2</xdr:col>
      <xdr:colOff>381000</xdr:colOff>
      <xdr:row>46</xdr:row>
      <xdr:rowOff>38100</xdr:rowOff>
    </xdr:to>
    <xdr:cxnSp macro="">
      <xdr:nvCxnSpPr>
        <xdr:cNvPr id="69" name="Straight Arrow Connector 68"/>
        <xdr:cNvCxnSpPr/>
      </xdr:nvCxnSpPr>
      <xdr:spPr>
        <a:xfrm>
          <a:off x="895350" y="9020175"/>
          <a:ext cx="476250" cy="0"/>
        </a:xfrm>
        <a:prstGeom prst="straightConnector1">
          <a:avLst/>
        </a:prstGeom>
        <a:ln>
          <a:tailEnd type="stealth" w="med" len="lg"/>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342900</xdr:colOff>
      <xdr:row>38</xdr:row>
      <xdr:rowOff>0</xdr:rowOff>
    </xdr:from>
    <xdr:to>
      <xdr:col>6</xdr:col>
      <xdr:colOff>57150</xdr:colOff>
      <xdr:row>38</xdr:row>
      <xdr:rowOff>0</xdr:rowOff>
    </xdr:to>
    <xdr:cxnSp macro="">
      <xdr:nvCxnSpPr>
        <xdr:cNvPr id="71" name="Straight Connector 70"/>
        <xdr:cNvCxnSpPr/>
      </xdr:nvCxnSpPr>
      <xdr:spPr>
        <a:xfrm>
          <a:off x="1943100" y="7458075"/>
          <a:ext cx="107632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495300</xdr:colOff>
      <xdr:row>39</xdr:row>
      <xdr:rowOff>0</xdr:rowOff>
    </xdr:from>
    <xdr:to>
      <xdr:col>6</xdr:col>
      <xdr:colOff>628650</xdr:colOff>
      <xdr:row>39</xdr:row>
      <xdr:rowOff>0</xdr:rowOff>
    </xdr:to>
    <xdr:cxnSp macro="">
      <xdr:nvCxnSpPr>
        <xdr:cNvPr id="73" name="Straight Connector 72"/>
        <xdr:cNvCxnSpPr/>
      </xdr:nvCxnSpPr>
      <xdr:spPr>
        <a:xfrm>
          <a:off x="1485900" y="7648575"/>
          <a:ext cx="210502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40</xdr:row>
      <xdr:rowOff>0</xdr:rowOff>
    </xdr:from>
    <xdr:to>
      <xdr:col>7</xdr:col>
      <xdr:colOff>323850</xdr:colOff>
      <xdr:row>40</xdr:row>
      <xdr:rowOff>0</xdr:rowOff>
    </xdr:to>
    <xdr:cxnSp macro="">
      <xdr:nvCxnSpPr>
        <xdr:cNvPr id="75" name="Straight Connector 74"/>
        <xdr:cNvCxnSpPr/>
      </xdr:nvCxnSpPr>
      <xdr:spPr>
        <a:xfrm>
          <a:off x="1000125" y="7839075"/>
          <a:ext cx="294322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352425</xdr:colOff>
      <xdr:row>41</xdr:row>
      <xdr:rowOff>0</xdr:rowOff>
    </xdr:from>
    <xdr:to>
      <xdr:col>8</xdr:col>
      <xdr:colOff>95250</xdr:colOff>
      <xdr:row>41</xdr:row>
      <xdr:rowOff>0</xdr:rowOff>
    </xdr:to>
    <xdr:cxnSp macro="">
      <xdr:nvCxnSpPr>
        <xdr:cNvPr id="77" name="Straight Connector 76"/>
        <xdr:cNvCxnSpPr/>
      </xdr:nvCxnSpPr>
      <xdr:spPr>
        <a:xfrm>
          <a:off x="733425" y="8029575"/>
          <a:ext cx="351472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42</xdr:row>
      <xdr:rowOff>0</xdr:rowOff>
    </xdr:from>
    <xdr:to>
      <xdr:col>8</xdr:col>
      <xdr:colOff>371475</xdr:colOff>
      <xdr:row>42</xdr:row>
      <xdr:rowOff>0</xdr:rowOff>
    </xdr:to>
    <xdr:cxnSp macro="">
      <xdr:nvCxnSpPr>
        <xdr:cNvPr id="79" name="Straight Connector 78"/>
        <xdr:cNvCxnSpPr/>
      </xdr:nvCxnSpPr>
      <xdr:spPr>
        <a:xfrm>
          <a:off x="419100" y="8220075"/>
          <a:ext cx="4105275"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361950</xdr:colOff>
      <xdr:row>36</xdr:row>
      <xdr:rowOff>133350</xdr:rowOff>
    </xdr:from>
    <xdr:to>
      <xdr:col>4</xdr:col>
      <xdr:colOff>0</xdr:colOff>
      <xdr:row>37</xdr:row>
      <xdr:rowOff>76200</xdr:rowOff>
    </xdr:to>
    <xdr:cxnSp macro="">
      <xdr:nvCxnSpPr>
        <xdr:cNvPr id="81" name="Elbow Connector 80"/>
        <xdr:cNvCxnSpPr/>
      </xdr:nvCxnSpPr>
      <xdr:spPr>
        <a:xfrm>
          <a:off x="2028825" y="7210425"/>
          <a:ext cx="247650" cy="152400"/>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371475</xdr:colOff>
      <xdr:row>37</xdr:row>
      <xdr:rowOff>133350</xdr:rowOff>
    </xdr:from>
    <xdr:to>
      <xdr:col>3</xdr:col>
      <xdr:colOff>285750</xdr:colOff>
      <xdr:row>38</xdr:row>
      <xdr:rowOff>114300</xdr:rowOff>
    </xdr:to>
    <xdr:cxnSp macro="">
      <xdr:nvCxnSpPr>
        <xdr:cNvPr id="87" name="Elbow Connector 86"/>
        <xdr:cNvCxnSpPr/>
      </xdr:nvCxnSpPr>
      <xdr:spPr>
        <a:xfrm>
          <a:off x="1428750" y="7400925"/>
          <a:ext cx="523875" cy="190500"/>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495300</xdr:colOff>
      <xdr:row>38</xdr:row>
      <xdr:rowOff>104775</xdr:rowOff>
    </xdr:from>
    <xdr:to>
      <xdr:col>2</xdr:col>
      <xdr:colOff>409575</xdr:colOff>
      <xdr:row>39</xdr:row>
      <xdr:rowOff>85725</xdr:rowOff>
    </xdr:to>
    <xdr:cxnSp macro="">
      <xdr:nvCxnSpPr>
        <xdr:cNvPr id="88" name="Elbow Connector 87"/>
        <xdr:cNvCxnSpPr/>
      </xdr:nvCxnSpPr>
      <xdr:spPr>
        <a:xfrm>
          <a:off x="876300" y="7562850"/>
          <a:ext cx="523875" cy="171450"/>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39</xdr:row>
      <xdr:rowOff>123825</xdr:rowOff>
    </xdr:from>
    <xdr:to>
      <xdr:col>2</xdr:col>
      <xdr:colOff>247650</xdr:colOff>
      <xdr:row>40</xdr:row>
      <xdr:rowOff>85725</xdr:rowOff>
    </xdr:to>
    <xdr:cxnSp macro="">
      <xdr:nvCxnSpPr>
        <xdr:cNvPr id="89" name="Elbow Connector 88"/>
        <xdr:cNvCxnSpPr/>
      </xdr:nvCxnSpPr>
      <xdr:spPr>
        <a:xfrm>
          <a:off x="866775" y="7772400"/>
          <a:ext cx="438150" cy="171450"/>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361950</xdr:colOff>
      <xdr:row>40</xdr:row>
      <xdr:rowOff>95250</xdr:rowOff>
    </xdr:from>
    <xdr:to>
      <xdr:col>2</xdr:col>
      <xdr:colOff>47625</xdr:colOff>
      <xdr:row>41</xdr:row>
      <xdr:rowOff>95250</xdr:rowOff>
    </xdr:to>
    <xdr:cxnSp macro="">
      <xdr:nvCxnSpPr>
        <xdr:cNvPr id="90" name="Elbow Connector 89"/>
        <xdr:cNvCxnSpPr/>
      </xdr:nvCxnSpPr>
      <xdr:spPr>
        <a:xfrm>
          <a:off x="742950" y="7934325"/>
          <a:ext cx="295275" cy="190500"/>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438150</xdr:colOff>
      <xdr:row>36</xdr:row>
      <xdr:rowOff>9525</xdr:rowOff>
    </xdr:from>
    <xdr:to>
      <xdr:col>4</xdr:col>
      <xdr:colOff>438150</xdr:colOff>
      <xdr:row>37</xdr:row>
      <xdr:rowOff>0</xdr:rowOff>
    </xdr:to>
    <xdr:cxnSp macro="">
      <xdr:nvCxnSpPr>
        <xdr:cNvPr id="99" name="Straight Connector 98"/>
        <xdr:cNvCxnSpPr/>
      </xdr:nvCxnSpPr>
      <xdr:spPr>
        <a:xfrm>
          <a:off x="2714625" y="7086600"/>
          <a:ext cx="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171450</xdr:colOff>
      <xdr:row>36</xdr:row>
      <xdr:rowOff>0</xdr:rowOff>
    </xdr:from>
    <xdr:to>
      <xdr:col>4</xdr:col>
      <xdr:colOff>171450</xdr:colOff>
      <xdr:row>36</xdr:row>
      <xdr:rowOff>200025</xdr:rowOff>
    </xdr:to>
    <xdr:cxnSp macro="">
      <xdr:nvCxnSpPr>
        <xdr:cNvPr id="101" name="Straight Connector 100"/>
        <xdr:cNvCxnSpPr/>
      </xdr:nvCxnSpPr>
      <xdr:spPr>
        <a:xfrm>
          <a:off x="2447925" y="7077075"/>
          <a:ext cx="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354167</xdr:colOff>
      <xdr:row>35</xdr:row>
      <xdr:rowOff>161259</xdr:rowOff>
    </xdr:from>
    <xdr:to>
      <xdr:col>4</xdr:col>
      <xdr:colOff>445607</xdr:colOff>
      <xdr:row>36</xdr:row>
      <xdr:rowOff>62199</xdr:rowOff>
    </xdr:to>
    <xdr:sp macro="" textlink="">
      <xdr:nvSpPr>
        <xdr:cNvPr id="102" name="Chord 101"/>
        <xdr:cNvSpPr/>
      </xdr:nvSpPr>
      <xdr:spPr>
        <a:xfrm rot="6811913">
          <a:off x="2630642" y="7047834"/>
          <a:ext cx="91440" cy="91440"/>
        </a:xfrm>
        <a:prstGeom prst="chord">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180975</xdr:colOff>
      <xdr:row>35</xdr:row>
      <xdr:rowOff>152400</xdr:rowOff>
    </xdr:from>
    <xdr:to>
      <xdr:col>4</xdr:col>
      <xdr:colOff>272415</xdr:colOff>
      <xdr:row>36</xdr:row>
      <xdr:rowOff>53340</xdr:rowOff>
    </xdr:to>
    <xdr:sp macro="" textlink="">
      <xdr:nvSpPr>
        <xdr:cNvPr id="103" name="Chord 102"/>
        <xdr:cNvSpPr/>
      </xdr:nvSpPr>
      <xdr:spPr>
        <a:xfrm rot="6811913">
          <a:off x="2457450" y="7038975"/>
          <a:ext cx="91440" cy="91440"/>
        </a:xfrm>
        <a:prstGeom prst="chord">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57150</xdr:colOff>
      <xdr:row>18</xdr:row>
      <xdr:rowOff>114300</xdr:rowOff>
    </xdr:from>
    <xdr:to>
      <xdr:col>9</xdr:col>
      <xdr:colOff>447675</xdr:colOff>
      <xdr:row>20</xdr:row>
      <xdr:rowOff>133350</xdr:rowOff>
    </xdr:to>
    <xdr:sp macro="" textlink="">
      <xdr:nvSpPr>
        <xdr:cNvPr id="2" name="Double Bracket 1"/>
        <xdr:cNvSpPr/>
      </xdr:nvSpPr>
      <xdr:spPr>
        <a:xfrm>
          <a:off x="342900" y="3543300"/>
          <a:ext cx="4724400" cy="40005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5</xdr:col>
      <xdr:colOff>95250</xdr:colOff>
      <xdr:row>22</xdr:row>
      <xdr:rowOff>9525</xdr:rowOff>
    </xdr:from>
    <xdr:to>
      <xdr:col>8</xdr:col>
      <xdr:colOff>238125</xdr:colOff>
      <xdr:row>23</xdr:row>
      <xdr:rowOff>142875</xdr:rowOff>
    </xdr:to>
    <xdr:sp macro="" textlink="">
      <xdr:nvSpPr>
        <xdr:cNvPr id="3" name="Double Bracket 2"/>
        <xdr:cNvSpPr/>
      </xdr:nvSpPr>
      <xdr:spPr>
        <a:xfrm>
          <a:off x="2409825" y="4200525"/>
          <a:ext cx="1800225" cy="323850"/>
        </a:xfrm>
        <a:prstGeom prst="bracketPair">
          <a:avLst/>
        </a:prstGeom>
        <a:ln w="222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5</xdr:col>
      <xdr:colOff>190500</xdr:colOff>
      <xdr:row>28</xdr:row>
      <xdr:rowOff>19050</xdr:rowOff>
    </xdr:from>
    <xdr:to>
      <xdr:col>6</xdr:col>
      <xdr:colOff>419100</xdr:colOff>
      <xdr:row>29</xdr:row>
      <xdr:rowOff>171450</xdr:rowOff>
    </xdr:to>
    <xdr:sp macro="" textlink="">
      <xdr:nvSpPr>
        <xdr:cNvPr id="4" name="Double Bracket 3"/>
        <xdr:cNvSpPr/>
      </xdr:nvSpPr>
      <xdr:spPr>
        <a:xfrm>
          <a:off x="2505075" y="5353050"/>
          <a:ext cx="704850" cy="3429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openxmlformats.org/officeDocument/2006/relationships/image" Target="../media/image13.emf"/><Relationship Id="rId4" Type="http://schemas.openxmlformats.org/officeDocument/2006/relationships/oleObject" Target="../embeddings/oleObject13.bin"/></Relationships>
</file>

<file path=xl/worksheets/_rels/sheet14.xml.rels><?xml version="1.0" encoding="UTF-8" standalone="yes"?>
<Relationships xmlns="http://schemas.openxmlformats.org/package/2006/relationships"><Relationship Id="rId8" Type="http://schemas.openxmlformats.org/officeDocument/2006/relationships/oleObject" Target="../embeddings/oleObject16.bin"/><Relationship Id="rId13" Type="http://schemas.openxmlformats.org/officeDocument/2006/relationships/image" Target="../media/image18.emf"/><Relationship Id="rId3" Type="http://schemas.openxmlformats.org/officeDocument/2006/relationships/vmlDrawing" Target="../drawings/vmlDrawing7.vml"/><Relationship Id="rId7" Type="http://schemas.openxmlformats.org/officeDocument/2006/relationships/image" Target="../media/image15.emf"/><Relationship Id="rId12" Type="http://schemas.openxmlformats.org/officeDocument/2006/relationships/oleObject" Target="../embeddings/oleObject18.bin"/><Relationship Id="rId2" Type="http://schemas.openxmlformats.org/officeDocument/2006/relationships/drawing" Target="../drawings/drawing12.xml"/><Relationship Id="rId1" Type="http://schemas.openxmlformats.org/officeDocument/2006/relationships/printerSettings" Target="../printerSettings/printerSettings14.bin"/><Relationship Id="rId6" Type="http://schemas.openxmlformats.org/officeDocument/2006/relationships/oleObject" Target="../embeddings/oleObject15.bin"/><Relationship Id="rId11" Type="http://schemas.openxmlformats.org/officeDocument/2006/relationships/image" Target="../media/image17.emf"/><Relationship Id="rId5" Type="http://schemas.openxmlformats.org/officeDocument/2006/relationships/image" Target="../media/image14.emf"/><Relationship Id="rId10" Type="http://schemas.openxmlformats.org/officeDocument/2006/relationships/oleObject" Target="../embeddings/oleObject17.bin"/><Relationship Id="rId4" Type="http://schemas.openxmlformats.org/officeDocument/2006/relationships/oleObject" Target="../embeddings/oleObject14.bin"/><Relationship Id="rId9" Type="http://schemas.openxmlformats.org/officeDocument/2006/relationships/image" Target="../media/image16.emf"/></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5.bin"/><Relationship Id="rId5" Type="http://schemas.openxmlformats.org/officeDocument/2006/relationships/image" Target="../media/image19.emf"/><Relationship Id="rId4" Type="http://schemas.openxmlformats.org/officeDocument/2006/relationships/oleObject" Target="../embeddings/oleObject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oleObject" Target="../embeddings/oleObject3.bin"/><Relationship Id="rId5" Type="http://schemas.openxmlformats.org/officeDocument/2006/relationships/image" Target="../media/image2.emf"/><Relationship Id="rId4" Type="http://schemas.openxmlformats.org/officeDocument/2006/relationships/oleObject" Target="../embeddings/oleObject2.bin"/><Relationship Id="rId9" Type="http://schemas.openxmlformats.org/officeDocument/2006/relationships/image" Target="../media/image4.emf"/></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7.bin"/><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oleObject" Target="../embeddings/oleObject6.bin"/><Relationship Id="rId5" Type="http://schemas.openxmlformats.org/officeDocument/2006/relationships/image" Target="../media/image5.emf"/><Relationship Id="rId4" Type="http://schemas.openxmlformats.org/officeDocument/2006/relationships/oleObject" Target="../embeddings/oleObject5.bin"/><Relationship Id="rId9" Type="http://schemas.openxmlformats.org/officeDocument/2006/relationships/image" Target="../media/image7.emf"/></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10.bin"/><Relationship Id="rId3" Type="http://schemas.openxmlformats.org/officeDocument/2006/relationships/vmlDrawing" Target="../drawings/vmlDrawing4.vml"/><Relationship Id="rId7" Type="http://schemas.openxmlformats.org/officeDocument/2006/relationships/image" Target="../media/image9.emf"/><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oleObject" Target="../embeddings/oleObject9.bin"/><Relationship Id="rId11" Type="http://schemas.openxmlformats.org/officeDocument/2006/relationships/image" Target="../media/image11.emf"/><Relationship Id="rId5" Type="http://schemas.openxmlformats.org/officeDocument/2006/relationships/image" Target="../media/image8.emf"/><Relationship Id="rId10" Type="http://schemas.openxmlformats.org/officeDocument/2006/relationships/oleObject" Target="../embeddings/oleObject11.bin"/><Relationship Id="rId4" Type="http://schemas.openxmlformats.org/officeDocument/2006/relationships/oleObject" Target="../embeddings/oleObject8.bin"/><Relationship Id="rId9" Type="http://schemas.openxmlformats.org/officeDocument/2006/relationships/image" Target="../media/image10.emf"/></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2.emf"/><Relationship Id="rId4" Type="http://schemas.openxmlformats.org/officeDocument/2006/relationships/oleObject" Target="../embeddings/oleObject1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K33"/>
  <sheetViews>
    <sheetView view="pageBreakPreview" topLeftCell="A10" zoomScaleNormal="100" zoomScaleSheetLayoutView="100" workbookViewId="0">
      <selection activeCell="P21" sqref="P21"/>
    </sheetView>
  </sheetViews>
  <sheetFormatPr defaultRowHeight="15" x14ac:dyDescent="0.25"/>
  <cols>
    <col min="1" max="1" width="5.7109375" style="1" customWidth="1"/>
    <col min="2" max="3" width="9.140625" style="1"/>
    <col min="4" max="4" width="8.42578125" style="1" bestFit="1" customWidth="1"/>
    <col min="5" max="5" width="8.7109375" style="1" bestFit="1" customWidth="1"/>
    <col min="6" max="6" width="3" style="1" bestFit="1" customWidth="1"/>
    <col min="7" max="7" width="6" style="1" customWidth="1"/>
    <col min="8" max="8" width="4.85546875" style="1" customWidth="1"/>
    <col min="9" max="9" width="8.28515625" style="1" customWidth="1"/>
    <col min="10" max="10" width="7" style="1" customWidth="1"/>
    <col min="11" max="16384" width="9.140625" style="1"/>
  </cols>
  <sheetData>
    <row r="2" spans="1:11" ht="15" customHeight="1" x14ac:dyDescent="0.25">
      <c r="A2" s="421"/>
      <c r="B2" s="426" t="s">
        <v>0</v>
      </c>
      <c r="C2" s="426"/>
      <c r="D2" s="426"/>
      <c r="E2" s="426"/>
      <c r="F2" s="426"/>
      <c r="G2" s="426"/>
      <c r="H2" s="426"/>
      <c r="I2" s="426"/>
      <c r="J2" s="426"/>
      <c r="K2" s="426"/>
    </row>
    <row r="4" spans="1:11" x14ac:dyDescent="0.25">
      <c r="B4" s="428" t="s">
        <v>1</v>
      </c>
      <c r="C4" s="428"/>
      <c r="D4" s="428"/>
      <c r="E4" s="4">
        <f>30</f>
        <v>30</v>
      </c>
      <c r="F4" s="1" t="s">
        <v>2</v>
      </c>
      <c r="G4" s="429">
        <f>61400</f>
        <v>61400</v>
      </c>
      <c r="H4" s="429"/>
    </row>
    <row r="5" spans="1:11" x14ac:dyDescent="0.25">
      <c r="B5" s="428" t="s">
        <v>3</v>
      </c>
      <c r="C5" s="428"/>
      <c r="D5" s="428"/>
      <c r="E5" s="428"/>
      <c r="F5" s="1" t="s">
        <v>2</v>
      </c>
      <c r="G5" s="429">
        <f>135</f>
        <v>135</v>
      </c>
      <c r="H5" s="429"/>
    </row>
    <row r="7" spans="1:11" x14ac:dyDescent="0.25">
      <c r="B7" s="430" t="s">
        <v>4</v>
      </c>
      <c r="C7" s="430"/>
      <c r="D7" s="430"/>
      <c r="E7" s="430"/>
      <c r="F7" s="430"/>
      <c r="G7" s="430"/>
      <c r="H7" s="430"/>
      <c r="I7" s="431" t="str">
        <f>" ( "&amp;G4&amp;" x "&amp;G5&amp;" ) "</f>
        <v xml:space="preserve"> ( 61400 x 135 ) </v>
      </c>
      <c r="J7" s="431"/>
    </row>
    <row r="8" spans="1:11" x14ac:dyDescent="0.25">
      <c r="H8" s="7" t="s">
        <v>2</v>
      </c>
      <c r="I8" s="432">
        <f>ROUND(G4*G5/1000000,3)</f>
        <v>8.2889999999999997</v>
      </c>
      <c r="J8" s="432"/>
    </row>
    <row r="9" spans="1:11" x14ac:dyDescent="0.25">
      <c r="B9" s="431" t="s">
        <v>5</v>
      </c>
      <c r="C9" s="431"/>
      <c r="D9" s="431"/>
      <c r="E9" s="431"/>
      <c r="F9" s="431"/>
      <c r="G9" s="431"/>
      <c r="H9" s="7" t="s">
        <v>2</v>
      </c>
      <c r="I9" s="433">
        <f>0.6</f>
        <v>0.6</v>
      </c>
      <c r="J9" s="433"/>
    </row>
    <row r="11" spans="1:11" x14ac:dyDescent="0.25">
      <c r="B11" s="434" t="s">
        <v>6</v>
      </c>
      <c r="C11" s="434"/>
    </row>
    <row r="12" spans="1:11" ht="15" customHeight="1" x14ac:dyDescent="0.25">
      <c r="B12" s="427" t="s">
        <v>7</v>
      </c>
      <c r="C12" s="427"/>
      <c r="D12" s="427"/>
      <c r="E12" s="427"/>
      <c r="F12" s="427"/>
      <c r="G12" s="427"/>
      <c r="H12" s="427"/>
      <c r="I12" s="427"/>
      <c r="J12" s="427"/>
      <c r="K12" s="427"/>
    </row>
    <row r="13" spans="1:11" x14ac:dyDescent="0.25">
      <c r="B13" s="430" t="s">
        <v>8</v>
      </c>
      <c r="C13" s="430"/>
      <c r="G13" s="430" t="s">
        <v>9</v>
      </c>
      <c r="H13" s="430"/>
    </row>
    <row r="14" spans="1:11" ht="15" customHeight="1" x14ac:dyDescent="0.25">
      <c r="B14" s="430"/>
      <c r="C14" s="430"/>
      <c r="G14" s="430"/>
      <c r="H14" s="430"/>
    </row>
    <row r="15" spans="1:11" ht="16.5" x14ac:dyDescent="0.25">
      <c r="C15" s="7"/>
      <c r="D15" s="10">
        <f>100</f>
        <v>100</v>
      </c>
      <c r="E15" s="8">
        <f>(G4/1000)</f>
        <v>61.4</v>
      </c>
      <c r="F15" s="1">
        <v>10</v>
      </c>
      <c r="G15" s="9" t="s">
        <v>10</v>
      </c>
      <c r="H15" s="435">
        <f>ROUND(D15*((G4/1000)^(0.5))*(1/1000),2)</f>
        <v>0.78</v>
      </c>
      <c r="I15" s="435"/>
    </row>
    <row r="17" spans="1:11" x14ac:dyDescent="0.25">
      <c r="B17" s="428" t="s">
        <v>11</v>
      </c>
      <c r="C17" s="428"/>
      <c r="D17" s="428"/>
      <c r="E17" s="428" t="str">
        <f>" ( "&amp;I8&amp;" + "&amp;I9&amp;" ) = "</f>
        <v xml:space="preserve"> ( 8.289 + 0.6 ) = </v>
      </c>
      <c r="F17" s="428"/>
      <c r="G17" s="428"/>
      <c r="H17" s="432">
        <f>I8+I9</f>
        <v>8.8889999999999993</v>
      </c>
      <c r="I17" s="432"/>
    </row>
    <row r="19" spans="1:11" x14ac:dyDescent="0.25">
      <c r="B19" s="428" t="s">
        <v>12</v>
      </c>
      <c r="C19" s="428"/>
      <c r="D19" s="428"/>
      <c r="E19" s="428" t="str">
        <f>" ( 1.5 x "&amp;H17&amp;" ) = "</f>
        <v xml:space="preserve"> ( 1.5 x 8.889 ) = </v>
      </c>
      <c r="F19" s="428"/>
      <c r="G19" s="428"/>
      <c r="H19" s="432">
        <f>ROUND(1.5*H17,3)</f>
        <v>13.334</v>
      </c>
      <c r="I19" s="432"/>
    </row>
    <row r="21" spans="1:11" ht="15" customHeight="1" x14ac:dyDescent="0.25">
      <c r="B21" s="428" t="s">
        <v>13</v>
      </c>
      <c r="C21" s="428"/>
      <c r="D21" s="428"/>
      <c r="E21" s="428"/>
      <c r="F21" s="428"/>
      <c r="G21" s="428"/>
      <c r="H21" s="428"/>
      <c r="I21" s="6"/>
      <c r="J21" s="6"/>
    </row>
    <row r="22" spans="1:11" x14ac:dyDescent="0.25">
      <c r="D22" s="428" t="str">
        <f>" = ( "&amp;H19&amp;" + "&amp;H15&amp;" ) = "</f>
        <v xml:space="preserve"> = ( 13.334 + 0.78 ) = </v>
      </c>
      <c r="E22" s="428"/>
      <c r="F22" s="428"/>
      <c r="G22" s="436">
        <f>H19+H15</f>
        <v>14.113999999999999</v>
      </c>
      <c r="H22" s="436"/>
      <c r="I22" s="436"/>
    </row>
    <row r="23" spans="1:11" x14ac:dyDescent="0.25">
      <c r="B23" s="427" t="s">
        <v>14</v>
      </c>
      <c r="C23" s="427"/>
      <c r="D23" s="427"/>
      <c r="E23" s="427"/>
      <c r="F23" s="427"/>
      <c r="G23" s="427"/>
      <c r="H23" s="427"/>
    </row>
    <row r="25" spans="1:11" x14ac:dyDescent="0.25">
      <c r="B25" s="438" t="s">
        <v>15</v>
      </c>
      <c r="C25" s="438"/>
      <c r="D25" s="438"/>
      <c r="E25" s="438"/>
      <c r="F25" s="438"/>
      <c r="G25" s="438"/>
      <c r="H25" s="438"/>
      <c r="I25" s="438"/>
    </row>
    <row r="27" spans="1:11" ht="15" customHeight="1" x14ac:dyDescent="0.25">
      <c r="B27" s="428" t="s">
        <v>16</v>
      </c>
      <c r="C27" s="428"/>
      <c r="D27" s="428"/>
      <c r="E27" s="436">
        <f>H19</f>
        <v>13.334</v>
      </c>
      <c r="F27" s="436"/>
      <c r="G27" s="436"/>
    </row>
    <row r="28" spans="1:11" x14ac:dyDescent="0.25">
      <c r="B28" s="428" t="s">
        <v>17</v>
      </c>
      <c r="C28" s="428"/>
      <c r="D28" s="428"/>
      <c r="E28" s="428"/>
      <c r="F28" s="436">
        <f>E27</f>
        <v>13.334</v>
      </c>
      <c r="G28" s="436"/>
      <c r="H28" s="436"/>
    </row>
    <row r="29" spans="1:11" ht="15" customHeight="1" x14ac:dyDescent="0.25">
      <c r="C29" s="407"/>
      <c r="D29" s="407"/>
      <c r="E29" s="407"/>
      <c r="F29" s="407"/>
    </row>
    <row r="30" spans="1:11" x14ac:dyDescent="0.25">
      <c r="A30" s="430" t="s">
        <v>18</v>
      </c>
      <c r="B30" s="430"/>
      <c r="C30" s="430"/>
      <c r="D30" s="430"/>
      <c r="E30" s="430"/>
      <c r="F30" s="1" t="s">
        <v>2</v>
      </c>
      <c r="G30" s="437">
        <f>2</f>
        <v>2</v>
      </c>
      <c r="H30" s="437"/>
      <c r="I30" s="437"/>
      <c r="J30" s="437"/>
    </row>
    <row r="31" spans="1:11" x14ac:dyDescent="0.25">
      <c r="F31" s="1" t="s">
        <v>2</v>
      </c>
      <c r="G31" s="428" t="str">
        <f>" ( "&amp;G30&amp;" x "&amp;H17&amp;" ) = "</f>
        <v xml:space="preserve"> ( 2 x 8.889 ) = </v>
      </c>
      <c r="H31" s="428"/>
      <c r="I31" s="428"/>
      <c r="J31" s="436">
        <f>G30*H17</f>
        <v>17.777999999999999</v>
      </c>
      <c r="K31" s="436"/>
    </row>
    <row r="32" spans="1:11" x14ac:dyDescent="0.25">
      <c r="B32" s="428" t="s">
        <v>19</v>
      </c>
      <c r="C32" s="428"/>
      <c r="F32" s="1" t="s">
        <v>2</v>
      </c>
      <c r="G32" s="437">
        <f>2</f>
        <v>2</v>
      </c>
      <c r="H32" s="437"/>
      <c r="I32" s="437"/>
      <c r="J32" s="437"/>
    </row>
    <row r="33" spans="6:11" x14ac:dyDescent="0.25">
      <c r="F33" s="1" t="s">
        <v>2</v>
      </c>
      <c r="G33" s="428" t="str">
        <f>" ( "&amp;G32&amp;" x "&amp;H17&amp;" ) = "</f>
        <v xml:space="preserve"> ( 2 x 8.889 ) = </v>
      </c>
      <c r="H33" s="428"/>
      <c r="I33" s="428"/>
      <c r="J33" s="436">
        <f>G32*H17</f>
        <v>17.777999999999999</v>
      </c>
      <c r="K33" s="436"/>
    </row>
  </sheetData>
  <mergeCells count="38">
    <mergeCell ref="G31:I31"/>
    <mergeCell ref="J31:K31"/>
    <mergeCell ref="B32:C32"/>
    <mergeCell ref="G32:J32"/>
    <mergeCell ref="G33:I33"/>
    <mergeCell ref="J33:K33"/>
    <mergeCell ref="B28:E28"/>
    <mergeCell ref="F28:H28"/>
    <mergeCell ref="G30:J30"/>
    <mergeCell ref="D22:F22"/>
    <mergeCell ref="G22:I22"/>
    <mergeCell ref="B23:H23"/>
    <mergeCell ref="B25:I25"/>
    <mergeCell ref="B27:D27"/>
    <mergeCell ref="E27:G27"/>
    <mergeCell ref="A30:E30"/>
    <mergeCell ref="B19:D19"/>
    <mergeCell ref="E19:G19"/>
    <mergeCell ref="H19:I19"/>
    <mergeCell ref="B21:H21"/>
    <mergeCell ref="B13:C14"/>
    <mergeCell ref="G13:H14"/>
    <mergeCell ref="H15:I15"/>
    <mergeCell ref="B17:D17"/>
    <mergeCell ref="E17:G17"/>
    <mergeCell ref="H17:I17"/>
    <mergeCell ref="B2:K2"/>
    <mergeCell ref="B12:K12"/>
    <mergeCell ref="B4:D4"/>
    <mergeCell ref="B5:E5"/>
    <mergeCell ref="G5:H5"/>
    <mergeCell ref="G4:H4"/>
    <mergeCell ref="B7:H7"/>
    <mergeCell ref="I7:J7"/>
    <mergeCell ref="I8:J8"/>
    <mergeCell ref="B9:G9"/>
    <mergeCell ref="I9:J9"/>
    <mergeCell ref="B11:C11"/>
  </mergeCells>
  <pageMargins left="0.7" right="0.7" top="0.75" bottom="0.75" header="0.3" footer="0.3"/>
  <pageSetup paperSize="9" orientation="portrait" r:id="rId1"/>
  <ignoredErrors>
    <ignoredError sqref="G15" numberStoredAsText="1"/>
  </ignoredErrors>
  <drawing r:id="rId2"/>
  <legacyDrawing r:id="rId3"/>
  <oleObjects>
    <mc:AlternateContent xmlns:mc="http://schemas.openxmlformats.org/markup-compatibility/2006">
      <mc:Choice Requires="x14">
        <oleObject progId="Equation.3" shapeId="1026" r:id="rId4">
          <objectPr defaultSize="0" autoPict="0" r:id="rId5">
            <anchor moveWithCells="1">
              <from>
                <xdr:col>3</xdr:col>
                <xdr:colOff>104775</xdr:colOff>
                <xdr:row>12</xdr:row>
                <xdr:rowOff>66675</xdr:rowOff>
              </from>
              <to>
                <xdr:col>6</xdr:col>
                <xdr:colOff>276225</xdr:colOff>
                <xdr:row>13</xdr:row>
                <xdr:rowOff>85725</xdr:rowOff>
              </to>
            </anchor>
          </objectPr>
        </oleObject>
      </mc:Choice>
      <mc:Fallback>
        <oleObject progId="Equation.3" shapeId="1026"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7"/>
  <sheetViews>
    <sheetView view="pageBreakPreview" zoomScaleNormal="100" zoomScaleSheetLayoutView="100" workbookViewId="0">
      <selection activeCell="B2" sqref="B2:J2"/>
    </sheetView>
  </sheetViews>
  <sheetFormatPr defaultRowHeight="15" x14ac:dyDescent="0.25"/>
  <cols>
    <col min="1" max="1" width="5.140625" style="138" bestFit="1" customWidth="1"/>
    <col min="2" max="5" width="9.140625" style="129"/>
    <col min="6" max="6" width="2.140625" style="129" bestFit="1" customWidth="1"/>
    <col min="7" max="7" width="9.85546875" style="129" customWidth="1"/>
    <col min="8" max="8" width="8" style="129" customWidth="1"/>
    <col min="9" max="9" width="7.28515625" style="129" customWidth="1"/>
    <col min="10" max="10" width="4.42578125" style="129" customWidth="1"/>
    <col min="11" max="16384" width="9.140625" style="129"/>
  </cols>
  <sheetData>
    <row r="2" spans="1:10" ht="15" customHeight="1" x14ac:dyDescent="0.25">
      <c r="B2" s="447" t="s">
        <v>276</v>
      </c>
      <c r="C2" s="448"/>
      <c r="D2" s="448"/>
      <c r="E2" s="448"/>
      <c r="F2" s="448"/>
      <c r="G2" s="448"/>
      <c r="H2" s="448"/>
      <c r="I2" s="448"/>
      <c r="J2" s="449"/>
    </row>
    <row r="3" spans="1:10" x14ac:dyDescent="0.25">
      <c r="B3" s="543" t="s">
        <v>277</v>
      </c>
      <c r="C3" s="543"/>
    </row>
    <row r="4" spans="1:10" ht="30" customHeight="1" x14ac:dyDescent="0.25">
      <c r="B4" s="537" t="s">
        <v>278</v>
      </c>
      <c r="C4" s="537"/>
      <c r="D4" s="537"/>
      <c r="E4" s="537"/>
      <c r="F4" s="537"/>
      <c r="G4" s="537"/>
      <c r="H4" s="537"/>
      <c r="I4" s="537"/>
      <c r="J4" s="537"/>
    </row>
    <row r="5" spans="1:10" ht="15" customHeight="1" x14ac:dyDescent="0.25">
      <c r="A5" s="138" t="s">
        <v>226</v>
      </c>
      <c r="B5" s="541" t="s">
        <v>279</v>
      </c>
      <c r="C5" s="541"/>
      <c r="D5" s="541"/>
      <c r="E5" s="541"/>
      <c r="F5" s="541"/>
      <c r="G5" s="541"/>
      <c r="H5" s="541"/>
      <c r="I5" s="541"/>
      <c r="J5" s="541"/>
    </row>
    <row r="6" spans="1:10" x14ac:dyDescent="0.25">
      <c r="B6" s="541"/>
      <c r="C6" s="541"/>
      <c r="D6" s="541"/>
      <c r="E6" s="541"/>
      <c r="F6" s="541"/>
      <c r="G6" s="541"/>
      <c r="H6" s="541"/>
      <c r="I6" s="541"/>
      <c r="J6" s="541"/>
    </row>
    <row r="7" spans="1:10" ht="15" customHeight="1" x14ac:dyDescent="0.25">
      <c r="A7" s="138" t="s">
        <v>227</v>
      </c>
      <c r="B7" s="541" t="s">
        <v>280</v>
      </c>
      <c r="C7" s="541"/>
      <c r="D7" s="541"/>
      <c r="E7" s="541"/>
      <c r="F7" s="541"/>
      <c r="G7" s="541"/>
      <c r="H7" s="541"/>
      <c r="I7" s="541"/>
      <c r="J7" s="541"/>
    </row>
    <row r="8" spans="1:10" x14ac:dyDescent="0.25">
      <c r="B8" s="541"/>
      <c r="C8" s="541"/>
      <c r="D8" s="541"/>
      <c r="E8" s="541"/>
      <c r="F8" s="541"/>
      <c r="G8" s="541"/>
      <c r="H8" s="541"/>
      <c r="I8" s="541"/>
      <c r="J8" s="541"/>
    </row>
    <row r="9" spans="1:10" ht="15" customHeight="1" x14ac:dyDescent="0.25">
      <c r="A9" s="138" t="s">
        <v>228</v>
      </c>
      <c r="B9" s="541" t="s">
        <v>281</v>
      </c>
      <c r="C9" s="541"/>
      <c r="D9" s="541"/>
      <c r="E9" s="541"/>
      <c r="F9" s="541"/>
      <c r="G9" s="541"/>
      <c r="H9" s="541"/>
      <c r="I9" s="541"/>
      <c r="J9" s="541"/>
    </row>
    <row r="10" spans="1:10" x14ac:dyDescent="0.25">
      <c r="B10" s="541"/>
      <c r="C10" s="541"/>
      <c r="D10" s="541"/>
      <c r="E10" s="541"/>
      <c r="F10" s="541"/>
      <c r="G10" s="541"/>
      <c r="H10" s="541"/>
      <c r="I10" s="541"/>
      <c r="J10" s="541"/>
    </row>
    <row r="12" spans="1:10" ht="15" customHeight="1" x14ac:dyDescent="0.25">
      <c r="B12" s="541" t="s">
        <v>282</v>
      </c>
      <c r="C12" s="541"/>
      <c r="D12" s="541"/>
      <c r="E12" s="541"/>
      <c r="F12" s="541"/>
      <c r="G12" s="541"/>
      <c r="H12" s="541"/>
      <c r="I12" s="541"/>
      <c r="J12" s="541"/>
    </row>
    <row r="13" spans="1:10" x14ac:dyDescent="0.25">
      <c r="B13" s="541"/>
      <c r="C13" s="541"/>
      <c r="D13" s="541"/>
      <c r="E13" s="541"/>
      <c r="F13" s="541"/>
      <c r="G13" s="541"/>
      <c r="H13" s="541"/>
      <c r="I13" s="541"/>
      <c r="J13" s="541"/>
    </row>
    <row r="14" spans="1:10" x14ac:dyDescent="0.25">
      <c r="B14" s="541"/>
      <c r="C14" s="541"/>
      <c r="D14" s="541"/>
      <c r="E14" s="541"/>
      <c r="F14" s="541"/>
      <c r="G14" s="541"/>
      <c r="H14" s="541"/>
      <c r="I14" s="541"/>
      <c r="J14" s="541"/>
    </row>
    <row r="15" spans="1:10" x14ac:dyDescent="0.25">
      <c r="B15" s="541"/>
      <c r="C15" s="541"/>
      <c r="D15" s="541"/>
      <c r="E15" s="541"/>
      <c r="F15" s="541"/>
      <c r="G15" s="541"/>
      <c r="H15" s="541"/>
      <c r="I15" s="541"/>
      <c r="J15" s="541"/>
    </row>
    <row r="16" spans="1:10" x14ac:dyDescent="0.25">
      <c r="B16" s="541"/>
      <c r="C16" s="541"/>
      <c r="D16" s="541"/>
      <c r="E16" s="541"/>
      <c r="F16" s="541"/>
      <c r="G16" s="541"/>
      <c r="H16" s="541"/>
      <c r="I16" s="541"/>
      <c r="J16" s="541"/>
    </row>
    <row r="18" spans="1:10" x14ac:dyDescent="0.25">
      <c r="B18" s="541" t="s">
        <v>283</v>
      </c>
      <c r="C18" s="541"/>
      <c r="D18" s="541"/>
      <c r="E18" s="541"/>
    </row>
    <row r="19" spans="1:10" x14ac:dyDescent="0.25">
      <c r="A19" s="138" t="s">
        <v>226</v>
      </c>
      <c r="B19" s="541" t="s">
        <v>284</v>
      </c>
      <c r="C19" s="541"/>
      <c r="D19" s="541"/>
      <c r="E19" s="541"/>
      <c r="F19" s="541"/>
    </row>
    <row r="20" spans="1:10" x14ac:dyDescent="0.25">
      <c r="A20" s="138" t="s">
        <v>227</v>
      </c>
      <c r="B20" s="541" t="s">
        <v>285</v>
      </c>
      <c r="C20" s="541"/>
      <c r="D20" s="541"/>
    </row>
    <row r="21" spans="1:10" x14ac:dyDescent="0.25">
      <c r="A21" s="138" t="s">
        <v>228</v>
      </c>
      <c r="B21" s="541" t="s">
        <v>286</v>
      </c>
      <c r="C21" s="541"/>
      <c r="D21" s="541"/>
    </row>
    <row r="23" spans="1:10" ht="15.75" customHeight="1" x14ac:dyDescent="0.25">
      <c r="B23" s="543" t="s">
        <v>287</v>
      </c>
      <c r="C23" s="543"/>
      <c r="D23" s="543"/>
      <c r="E23" s="543"/>
      <c r="F23" s="543"/>
    </row>
    <row r="24" spans="1:10" x14ac:dyDescent="0.25">
      <c r="B24" s="541" t="s">
        <v>288</v>
      </c>
      <c r="C24" s="541"/>
      <c r="D24" s="541"/>
      <c r="F24" s="129" t="s">
        <v>2</v>
      </c>
      <c r="G24" s="131">
        <f>4</f>
        <v>4</v>
      </c>
      <c r="H24" s="130">
        <f>9</f>
        <v>9</v>
      </c>
    </row>
    <row r="25" spans="1:10" x14ac:dyDescent="0.25">
      <c r="B25" s="541" t="s">
        <v>289</v>
      </c>
      <c r="C25" s="541"/>
      <c r="D25" s="541"/>
      <c r="F25" s="129" t="s">
        <v>2</v>
      </c>
      <c r="G25" s="51">
        <v>0.3</v>
      </c>
      <c r="H25" s="542">
        <v>0.75</v>
      </c>
      <c r="I25" s="542"/>
      <c r="J25" s="542"/>
    </row>
    <row r="26" spans="1:10" x14ac:dyDescent="0.25">
      <c r="B26" s="541" t="s">
        <v>290</v>
      </c>
      <c r="C26" s="541"/>
      <c r="D26" s="541"/>
      <c r="F26" s="129" t="s">
        <v>2</v>
      </c>
      <c r="G26" s="132">
        <f>2</f>
        <v>2</v>
      </c>
    </row>
    <row r="27" spans="1:10" x14ac:dyDescent="0.25">
      <c r="B27" s="541" t="s">
        <v>291</v>
      </c>
      <c r="C27" s="541"/>
      <c r="D27" s="541"/>
      <c r="F27" s="129" t="s">
        <v>2</v>
      </c>
      <c r="G27" s="133">
        <v>1.4999999999999999E-2</v>
      </c>
      <c r="H27" s="134">
        <v>4.4999999999999998E-2</v>
      </c>
      <c r="I27" s="541" t="s">
        <v>292</v>
      </c>
      <c r="J27" s="541"/>
    </row>
    <row r="29" spans="1:10" x14ac:dyDescent="0.25">
      <c r="B29" s="543" t="s">
        <v>197</v>
      </c>
      <c r="C29" s="543"/>
      <c r="D29" s="543"/>
    </row>
    <row r="30" spans="1:10" ht="16.5" x14ac:dyDescent="0.25">
      <c r="B30" s="129" t="s">
        <v>293</v>
      </c>
      <c r="C30" s="129" t="s">
        <v>294</v>
      </c>
      <c r="F30" s="129" t="s">
        <v>2</v>
      </c>
      <c r="G30" s="34">
        <f>'Intake Design'!E23</f>
        <v>0.15429999999999999</v>
      </c>
      <c r="H30" s="477" t="s">
        <v>95</v>
      </c>
      <c r="I30" s="477"/>
    </row>
    <row r="31" spans="1:10" x14ac:dyDescent="0.25">
      <c r="B31" s="541" t="s">
        <v>295</v>
      </c>
      <c r="C31" s="541"/>
      <c r="D31" s="541"/>
      <c r="F31" s="129" t="s">
        <v>2</v>
      </c>
      <c r="G31" s="136">
        <f>17</f>
        <v>17</v>
      </c>
      <c r="H31" s="135" t="s">
        <v>99</v>
      </c>
    </row>
    <row r="32" spans="1:10" x14ac:dyDescent="0.25">
      <c r="B32" s="541" t="s">
        <v>296</v>
      </c>
      <c r="C32" s="541"/>
      <c r="D32" s="541"/>
      <c r="E32" s="541"/>
      <c r="F32" s="129" t="s">
        <v>2</v>
      </c>
      <c r="G32" s="136">
        <f>5</f>
        <v>5</v>
      </c>
    </row>
    <row r="33" spans="1:9" x14ac:dyDescent="0.25">
      <c r="B33" s="541" t="s">
        <v>297</v>
      </c>
      <c r="C33" s="541"/>
      <c r="D33" s="541"/>
      <c r="F33" s="129" t="s">
        <v>2</v>
      </c>
      <c r="G33" s="136">
        <f>0.4</f>
        <v>0.4</v>
      </c>
    </row>
    <row r="34" spans="1:9" x14ac:dyDescent="0.25">
      <c r="B34" s="541" t="s">
        <v>298</v>
      </c>
      <c r="C34" s="541"/>
      <c r="D34" s="541"/>
      <c r="F34" s="129" t="s">
        <v>2</v>
      </c>
      <c r="G34" s="137">
        <f>50</f>
        <v>50</v>
      </c>
      <c r="H34" s="540">
        <f>G34/100</f>
        <v>0.5</v>
      </c>
      <c r="I34" s="540"/>
    </row>
    <row r="37" spans="1:9" ht="16.5" x14ac:dyDescent="0.25">
      <c r="C37" s="138" t="s">
        <v>304</v>
      </c>
      <c r="D37" s="139">
        <f>C38-1</f>
        <v>1</v>
      </c>
      <c r="F37" s="537"/>
      <c r="G37" s="537"/>
    </row>
    <row r="38" spans="1:9" ht="16.5" x14ac:dyDescent="0.25">
      <c r="B38" s="138" t="s">
        <v>303</v>
      </c>
      <c r="C38" s="139">
        <f>B39-1</f>
        <v>2</v>
      </c>
      <c r="E38" s="538" t="s">
        <v>305</v>
      </c>
      <c r="F38" s="538"/>
      <c r="G38" s="139">
        <f>F39+G33</f>
        <v>30.999999999999993</v>
      </c>
    </row>
    <row r="39" spans="1:9" ht="16.5" x14ac:dyDescent="0.25">
      <c r="A39" s="138" t="s">
        <v>302</v>
      </c>
      <c r="B39" s="139">
        <f>B40-1</f>
        <v>3</v>
      </c>
      <c r="E39" s="138" t="s">
        <v>305</v>
      </c>
      <c r="F39" s="539">
        <f>G40+G33</f>
        <v>30.599999999999994</v>
      </c>
      <c r="G39" s="539"/>
    </row>
    <row r="40" spans="1:9" ht="16.5" x14ac:dyDescent="0.25">
      <c r="A40" s="138" t="s">
        <v>301</v>
      </c>
      <c r="B40" s="139">
        <f>B41-1</f>
        <v>4</v>
      </c>
      <c r="E40" s="538" t="s">
        <v>305</v>
      </c>
      <c r="F40" s="538"/>
      <c r="G40" s="139">
        <f>H41+G33</f>
        <v>30.199999999999996</v>
      </c>
    </row>
    <row r="41" spans="1:9" ht="16.5" x14ac:dyDescent="0.25">
      <c r="A41" s="138" t="s">
        <v>300</v>
      </c>
      <c r="B41" s="139">
        <f>G32</f>
        <v>5</v>
      </c>
      <c r="G41" s="138" t="s">
        <v>305</v>
      </c>
      <c r="H41" s="139">
        <f>H42+G33</f>
        <v>29.799999999999997</v>
      </c>
    </row>
    <row r="42" spans="1:9" x14ac:dyDescent="0.25">
      <c r="G42" s="138" t="s">
        <v>305</v>
      </c>
      <c r="H42" s="139">
        <f>I43+G33</f>
        <v>29.4</v>
      </c>
    </row>
    <row r="43" spans="1:9" x14ac:dyDescent="0.25">
      <c r="H43" s="138" t="s">
        <v>305</v>
      </c>
      <c r="I43" s="139">
        <f>29</f>
        <v>29</v>
      </c>
    </row>
    <row r="46" spans="1:9" x14ac:dyDescent="0.25">
      <c r="B46" s="537" t="s">
        <v>299</v>
      </c>
    </row>
    <row r="47" spans="1:9" x14ac:dyDescent="0.25">
      <c r="B47" s="537"/>
    </row>
  </sheetData>
  <mergeCells count="30">
    <mergeCell ref="B3:C3"/>
    <mergeCell ref="B20:D20"/>
    <mergeCell ref="B21:D21"/>
    <mergeCell ref="B23:F23"/>
    <mergeCell ref="B2:J2"/>
    <mergeCell ref="B24:D24"/>
    <mergeCell ref="B4:J4"/>
    <mergeCell ref="B5:J6"/>
    <mergeCell ref="B7:J8"/>
    <mergeCell ref="B9:J10"/>
    <mergeCell ref="B12:J16"/>
    <mergeCell ref="B18:E18"/>
    <mergeCell ref="B19:F19"/>
    <mergeCell ref="H30:I30"/>
    <mergeCell ref="H34:I34"/>
    <mergeCell ref="B25:D25"/>
    <mergeCell ref="H25:J25"/>
    <mergeCell ref="B26:D26"/>
    <mergeCell ref="B27:D27"/>
    <mergeCell ref="I27:J27"/>
    <mergeCell ref="B29:D29"/>
    <mergeCell ref="B31:D31"/>
    <mergeCell ref="B32:E32"/>
    <mergeCell ref="B33:D33"/>
    <mergeCell ref="B34:D34"/>
    <mergeCell ref="B46:B47"/>
    <mergeCell ref="E40:F40"/>
    <mergeCell ref="F39:G39"/>
    <mergeCell ref="F37:G37"/>
    <mergeCell ref="E38:F38"/>
  </mergeCells>
  <pageMargins left="0.7" right="0.7" top="0.75" bottom="0.75" header="0.3" footer="0.3"/>
  <pageSetup paperSize="9" orientation="portrait" r:id="rId1"/>
  <rowBreaks count="1" manualBreakCount="1">
    <brk id="48" max="9"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3"/>
  <sheetViews>
    <sheetView view="pageBreakPreview" zoomScaleNormal="100" zoomScaleSheetLayoutView="100" workbookViewId="0">
      <selection activeCell="B2" sqref="B2:J2"/>
    </sheetView>
  </sheetViews>
  <sheetFormatPr defaultRowHeight="15" x14ac:dyDescent="0.25"/>
  <cols>
    <col min="1" max="1" width="2.140625" style="83" customWidth="1"/>
    <col min="2" max="2" width="8.7109375" style="83" bestFit="1" customWidth="1"/>
    <col min="3" max="3" width="7" style="83" bestFit="1" customWidth="1"/>
    <col min="4" max="4" width="11.140625" style="83" customWidth="1"/>
    <col min="5" max="5" width="3.5703125" style="83" customWidth="1"/>
    <col min="6" max="6" width="7.140625" style="83" customWidth="1"/>
    <col min="7" max="8" width="8.85546875" style="83" bestFit="1" customWidth="1"/>
    <col min="9" max="9" width="9.7109375" style="83" bestFit="1" customWidth="1"/>
    <col min="10" max="10" width="7.28515625" style="83" customWidth="1"/>
    <col min="11" max="16384" width="9.140625" style="83"/>
  </cols>
  <sheetData>
    <row r="2" spans="2:10" ht="15" customHeight="1" x14ac:dyDescent="0.25">
      <c r="B2" s="447" t="s">
        <v>306</v>
      </c>
      <c r="C2" s="448"/>
      <c r="D2" s="448"/>
      <c r="E2" s="448"/>
      <c r="F2" s="448"/>
      <c r="G2" s="448"/>
      <c r="H2" s="448"/>
      <c r="I2" s="448"/>
      <c r="J2" s="449"/>
    </row>
    <row r="4" spans="2:10" ht="15" customHeight="1" x14ac:dyDescent="0.25">
      <c r="B4" s="545" t="s">
        <v>307</v>
      </c>
      <c r="C4" s="545"/>
      <c r="D4" s="545"/>
      <c r="E4" s="545"/>
      <c r="F4" s="545"/>
    </row>
    <row r="5" spans="2:10" ht="15" customHeight="1" x14ac:dyDescent="0.25">
      <c r="B5" s="431" t="s">
        <v>308</v>
      </c>
      <c r="C5" s="431"/>
      <c r="D5" s="431"/>
      <c r="E5" s="431"/>
      <c r="F5" s="431"/>
      <c r="G5" s="431"/>
      <c r="H5" s="431"/>
      <c r="I5" s="431"/>
      <c r="J5" s="431"/>
    </row>
    <row r="6" spans="2:10" x14ac:dyDescent="0.25">
      <c r="B6" s="431"/>
      <c r="C6" s="431"/>
      <c r="D6" s="431"/>
      <c r="E6" s="431"/>
      <c r="F6" s="431"/>
      <c r="G6" s="431"/>
      <c r="H6" s="431"/>
      <c r="I6" s="431"/>
      <c r="J6" s="431"/>
    </row>
    <row r="7" spans="2:10" ht="15" customHeight="1" x14ac:dyDescent="0.25">
      <c r="B7" s="431" t="s">
        <v>309</v>
      </c>
      <c r="C7" s="431"/>
      <c r="D7" s="431"/>
      <c r="E7" s="431"/>
      <c r="F7" s="431"/>
      <c r="G7" s="431"/>
      <c r="H7" s="431"/>
      <c r="I7" s="431"/>
      <c r="J7" s="431"/>
    </row>
    <row r="8" spans="2:10" x14ac:dyDescent="0.25">
      <c r="B8" s="431"/>
      <c r="C8" s="431"/>
      <c r="D8" s="431"/>
      <c r="E8" s="431"/>
      <c r="F8" s="431"/>
      <c r="G8" s="431"/>
      <c r="H8" s="431"/>
      <c r="I8" s="431"/>
      <c r="J8" s="431"/>
    </row>
    <row r="10" spans="2:10" ht="15" customHeight="1" x14ac:dyDescent="0.25">
      <c r="B10" s="545" t="s">
        <v>310</v>
      </c>
      <c r="C10" s="545"/>
      <c r="D10" s="545"/>
      <c r="E10" s="545"/>
      <c r="F10" s="545"/>
    </row>
    <row r="11" spans="2:10" x14ac:dyDescent="0.25">
      <c r="B11" s="431" t="s">
        <v>311</v>
      </c>
      <c r="C11" s="431"/>
      <c r="D11" s="431"/>
      <c r="E11" s="431"/>
      <c r="F11" s="431"/>
      <c r="G11" s="431"/>
    </row>
    <row r="12" spans="2:10" x14ac:dyDescent="0.25">
      <c r="C12" s="428" t="s">
        <v>312</v>
      </c>
      <c r="D12" s="428"/>
      <c r="E12" s="83" t="s">
        <v>2</v>
      </c>
      <c r="F12" s="544">
        <f>50</f>
        <v>50</v>
      </c>
      <c r="G12" s="544"/>
    </row>
    <row r="13" spans="2:10" x14ac:dyDescent="0.25">
      <c r="C13" s="428" t="s">
        <v>313</v>
      </c>
      <c r="D13" s="428"/>
      <c r="E13" s="83" t="s">
        <v>2</v>
      </c>
      <c r="F13" s="544">
        <v>20</v>
      </c>
      <c r="G13" s="544"/>
    </row>
    <row r="14" spans="2:10" x14ac:dyDescent="0.25">
      <c r="C14" s="428" t="s">
        <v>314</v>
      </c>
      <c r="D14" s="428"/>
      <c r="E14" s="83" t="s">
        <v>2</v>
      </c>
      <c r="F14" s="544">
        <v>5</v>
      </c>
      <c r="G14" s="544"/>
    </row>
    <row r="16" spans="2:10" ht="15" customHeight="1" x14ac:dyDescent="0.25">
      <c r="B16" s="545" t="s">
        <v>315</v>
      </c>
      <c r="C16" s="545"/>
      <c r="D16" s="545"/>
    </row>
    <row r="17" spans="1:12" x14ac:dyDescent="0.25">
      <c r="B17" s="428" t="s">
        <v>316</v>
      </c>
      <c r="C17" s="428"/>
      <c r="D17" s="428"/>
      <c r="E17" s="428"/>
      <c r="F17" s="428"/>
      <c r="G17" s="141">
        <f>F12</f>
        <v>50</v>
      </c>
      <c r="H17" s="141">
        <f>F13</f>
        <v>20</v>
      </c>
      <c r="I17" s="142">
        <f>F14</f>
        <v>5</v>
      </c>
      <c r="J17" s="86" t="s">
        <v>317</v>
      </c>
    </row>
    <row r="18" spans="1:12" x14ac:dyDescent="0.25">
      <c r="B18" s="143" t="str">
        <f>C12</f>
        <v>Monsoon</v>
      </c>
      <c r="C18" s="83" t="str">
        <f>C13</f>
        <v>Winter</v>
      </c>
      <c r="D18" s="83" t="str">
        <f>C14</f>
        <v>Summer</v>
      </c>
      <c r="E18" s="431" t="s">
        <v>318</v>
      </c>
      <c r="F18" s="431"/>
      <c r="G18" s="431"/>
      <c r="H18" s="431"/>
    </row>
    <row r="19" spans="1:12" s="149" customFormat="1" x14ac:dyDescent="0.25">
      <c r="B19" s="143"/>
      <c r="E19" s="152"/>
      <c r="F19" s="152"/>
      <c r="G19" s="152"/>
      <c r="H19" s="152"/>
    </row>
    <row r="20" spans="1:12" s="149" customFormat="1" ht="15" customHeight="1" x14ac:dyDescent="0.25">
      <c r="A20" s="430" t="s">
        <v>467</v>
      </c>
      <c r="B20" s="430"/>
      <c r="C20" s="430"/>
      <c r="D20" s="430"/>
      <c r="E20" s="430"/>
      <c r="F20" s="6">
        <f>'Intake Design'!E23</f>
        <v>0.15429999999999999</v>
      </c>
      <c r="G20" s="258">
        <f>60</f>
        <v>60</v>
      </c>
      <c r="H20" s="259">
        <f>60</f>
        <v>60</v>
      </c>
      <c r="I20" s="97">
        <f>F20*G20*H20</f>
        <v>555.4799999999999</v>
      </c>
      <c r="J20" s="152" t="s">
        <v>466</v>
      </c>
    </row>
    <row r="21" spans="1:12" s="149" customFormat="1" ht="15" customHeight="1" x14ac:dyDescent="0.25">
      <c r="A21" s="151"/>
      <c r="B21" s="151"/>
      <c r="C21" s="151"/>
      <c r="D21" s="151"/>
      <c r="E21" s="152"/>
      <c r="F21" s="152"/>
      <c r="G21" s="152"/>
      <c r="H21" s="152"/>
    </row>
    <row r="22" spans="1:12" x14ac:dyDescent="0.25">
      <c r="B22" s="428" t="s">
        <v>699</v>
      </c>
      <c r="C22" s="428"/>
      <c r="D22" s="428"/>
      <c r="E22" s="428"/>
      <c r="F22" s="428"/>
      <c r="G22" s="428"/>
      <c r="H22" s="428"/>
    </row>
    <row r="23" spans="1:12" x14ac:dyDescent="0.25">
      <c r="E23" s="428" t="s">
        <v>2</v>
      </c>
      <c r="F23" s="144">
        <f>F12</f>
        <v>50</v>
      </c>
      <c r="G23" s="167">
        <f>I20</f>
        <v>555.4799999999999</v>
      </c>
      <c r="H23" s="145">
        <f>1000</f>
        <v>1000</v>
      </c>
      <c r="I23" s="43">
        <f>24</f>
        <v>24</v>
      </c>
    </row>
    <row r="24" spans="1:12" x14ac:dyDescent="0.25">
      <c r="E24" s="428"/>
      <c r="G24" s="84">
        <v>1000000</v>
      </c>
    </row>
    <row r="25" spans="1:12" x14ac:dyDescent="0.25">
      <c r="E25" s="83" t="s">
        <v>2</v>
      </c>
      <c r="F25" s="6">
        <f>ROUND(F23*G23*H23*I23/G24,2)</f>
        <v>666.58</v>
      </c>
      <c r="G25" s="83" t="s">
        <v>319</v>
      </c>
    </row>
    <row r="26" spans="1:12" ht="15" customHeight="1" x14ac:dyDescent="0.25">
      <c r="B26" s="146">
        <f>6</f>
        <v>6</v>
      </c>
      <c r="C26" s="83" t="s">
        <v>320</v>
      </c>
      <c r="D26" s="547">
        <f>B26*30</f>
        <v>180</v>
      </c>
      <c r="E26" s="547"/>
      <c r="F26" s="547" t="str">
        <f>" ( "&amp;F25&amp;" x "&amp;D26&amp;" ) "</f>
        <v xml:space="preserve"> ( 666.58 x 180 ) </v>
      </c>
      <c r="G26" s="547"/>
      <c r="H26" s="548">
        <f>F25*D26</f>
        <v>119984.40000000001</v>
      </c>
      <c r="I26" s="548"/>
    </row>
    <row r="28" spans="1:12" x14ac:dyDescent="0.25">
      <c r="B28" s="428" t="s">
        <v>321</v>
      </c>
      <c r="C28" s="428"/>
      <c r="D28" s="428"/>
      <c r="E28" s="428"/>
      <c r="F28" s="428"/>
      <c r="G28" s="148">
        <f>50</f>
        <v>50</v>
      </c>
      <c r="H28" s="147"/>
    </row>
    <row r="29" spans="1:12" x14ac:dyDescent="0.25">
      <c r="E29" s="428" t="s">
        <v>2</v>
      </c>
      <c r="F29" s="549">
        <f>H26</f>
        <v>119984.40000000001</v>
      </c>
      <c r="G29" s="549"/>
      <c r="H29" s="551">
        <f>ROUND(F29/F30,1)</f>
        <v>2399.6999999999998</v>
      </c>
      <c r="I29" s="431" t="s">
        <v>322</v>
      </c>
    </row>
    <row r="30" spans="1:12" x14ac:dyDescent="0.25">
      <c r="E30" s="428"/>
      <c r="F30" s="550">
        <f>G28</f>
        <v>50</v>
      </c>
      <c r="G30" s="550"/>
      <c r="H30" s="551"/>
      <c r="I30" s="431"/>
    </row>
    <row r="31" spans="1:12" x14ac:dyDescent="0.25">
      <c r="E31" s="83" t="s">
        <v>2</v>
      </c>
      <c r="F31" s="546">
        <f>2400</f>
        <v>2400</v>
      </c>
      <c r="G31" s="546"/>
    </row>
    <row r="32" spans="1:12" x14ac:dyDescent="0.25">
      <c r="B32" s="552">
        <f>15</f>
        <v>15</v>
      </c>
      <c r="C32" s="552"/>
      <c r="D32" s="83" t="s">
        <v>323</v>
      </c>
      <c r="E32" s="83" t="s">
        <v>2</v>
      </c>
      <c r="F32" s="553" t="str">
        <f>" ( "&amp;F31&amp;" / "&amp;B32&amp;" ) = "</f>
        <v xml:space="preserve"> ( 2400 / 15 ) = </v>
      </c>
      <c r="G32" s="553"/>
      <c r="H32" s="140">
        <f>F31/B32</f>
        <v>160</v>
      </c>
      <c r="I32" s="431" t="s">
        <v>353</v>
      </c>
      <c r="J32" s="431"/>
      <c r="L32" s="83">
        <f>2400/15</f>
        <v>160</v>
      </c>
    </row>
    <row r="33" spans="2:10" x14ac:dyDescent="0.25">
      <c r="B33" s="554">
        <f>0.2</f>
        <v>0.2</v>
      </c>
      <c r="C33" s="554"/>
      <c r="D33" s="554"/>
      <c r="E33" s="110" t="s">
        <v>324</v>
      </c>
      <c r="F33" s="428" t="s">
        <v>325</v>
      </c>
      <c r="G33" s="428"/>
      <c r="H33" s="428"/>
      <c r="I33" s="170">
        <f>B33*H32</f>
        <v>32</v>
      </c>
      <c r="J33" s="104" t="s">
        <v>99</v>
      </c>
    </row>
  </sheetData>
  <mergeCells count="33">
    <mergeCell ref="B32:C32"/>
    <mergeCell ref="F32:G32"/>
    <mergeCell ref="B33:D33"/>
    <mergeCell ref="F33:H33"/>
    <mergeCell ref="I32:J32"/>
    <mergeCell ref="B2:J2"/>
    <mergeCell ref="B5:J6"/>
    <mergeCell ref="B7:J8"/>
    <mergeCell ref="F12:G12"/>
    <mergeCell ref="F13:G13"/>
    <mergeCell ref="B4:F4"/>
    <mergeCell ref="B10:F10"/>
    <mergeCell ref="B11:G11"/>
    <mergeCell ref="C12:D12"/>
    <mergeCell ref="C13:D13"/>
    <mergeCell ref="I29:I30"/>
    <mergeCell ref="F31:G31"/>
    <mergeCell ref="D26:E26"/>
    <mergeCell ref="F26:G26"/>
    <mergeCell ref="H26:I26"/>
    <mergeCell ref="B28:F28"/>
    <mergeCell ref="F29:G29"/>
    <mergeCell ref="E29:E30"/>
    <mergeCell ref="F30:G30"/>
    <mergeCell ref="H29:H30"/>
    <mergeCell ref="F14:G14"/>
    <mergeCell ref="B17:F17"/>
    <mergeCell ref="E18:H18"/>
    <mergeCell ref="B22:H22"/>
    <mergeCell ref="E23:E24"/>
    <mergeCell ref="B16:D16"/>
    <mergeCell ref="C14:D14"/>
    <mergeCell ref="A20:E2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96"/>
  <sheetViews>
    <sheetView view="pageBreakPreview" zoomScaleNormal="100" zoomScaleSheetLayoutView="100" workbookViewId="0">
      <selection activeCell="B2" sqref="B2:M2"/>
    </sheetView>
  </sheetViews>
  <sheetFormatPr defaultRowHeight="15" x14ac:dyDescent="0.25"/>
  <cols>
    <col min="1" max="1" width="3.85546875" style="101" customWidth="1"/>
    <col min="2" max="2" width="9.7109375" style="101" customWidth="1"/>
    <col min="3" max="4" width="8.42578125" style="101" bestFit="1" customWidth="1"/>
    <col min="5" max="5" width="7.7109375" style="101" bestFit="1" customWidth="1"/>
    <col min="6" max="6" width="2.140625" style="101" bestFit="1" customWidth="1"/>
    <col min="7" max="7" width="10.28515625" style="101" bestFit="1" customWidth="1"/>
    <col min="8" max="8" width="6.7109375" style="101" bestFit="1" customWidth="1"/>
    <col min="9" max="9" width="3" style="101" bestFit="1" customWidth="1"/>
    <col min="10" max="10" width="10.28515625" style="101" bestFit="1" customWidth="1"/>
    <col min="11" max="11" width="5.5703125" style="101" bestFit="1" customWidth="1"/>
    <col min="12" max="12" width="5" style="101" bestFit="1" customWidth="1"/>
    <col min="13" max="13" width="4.5703125" style="101" customWidth="1"/>
    <col min="14" max="16" width="9.140625" style="101"/>
    <col min="17" max="17" width="11.5703125" style="101" bestFit="1" customWidth="1"/>
    <col min="18" max="16384" width="9.140625" style="101"/>
  </cols>
  <sheetData>
    <row r="2" spans="1:13" ht="15" customHeight="1" x14ac:dyDescent="0.25">
      <c r="B2" s="592" t="s">
        <v>326</v>
      </c>
      <c r="C2" s="593"/>
      <c r="D2" s="593"/>
      <c r="E2" s="593"/>
      <c r="F2" s="593"/>
      <c r="G2" s="593"/>
      <c r="H2" s="593"/>
      <c r="I2" s="593"/>
      <c r="J2" s="593"/>
      <c r="K2" s="593"/>
      <c r="L2" s="593"/>
      <c r="M2" s="594"/>
    </row>
    <row r="3" spans="1:13" x14ac:dyDescent="0.25">
      <c r="B3" s="438" t="s">
        <v>73</v>
      </c>
      <c r="C3" s="438"/>
    </row>
    <row r="4" spans="1:13" ht="15" customHeight="1" x14ac:dyDescent="0.25">
      <c r="B4" s="428" t="s">
        <v>384</v>
      </c>
      <c r="C4" s="428"/>
      <c r="D4" s="428"/>
      <c r="E4" s="428"/>
      <c r="F4" s="428"/>
      <c r="G4" s="428"/>
      <c r="H4" s="428"/>
      <c r="I4" s="428"/>
      <c r="J4" s="428"/>
      <c r="K4" s="428"/>
      <c r="L4" s="428"/>
      <c r="M4" s="428"/>
    </row>
    <row r="5" spans="1:13" ht="15" customHeight="1" x14ac:dyDescent="0.25">
      <c r="B5" s="428" t="s">
        <v>385</v>
      </c>
      <c r="C5" s="428"/>
      <c r="D5" s="428"/>
      <c r="E5" s="428"/>
      <c r="F5" s="428"/>
      <c r="G5" s="428"/>
      <c r="H5" s="428"/>
      <c r="I5" s="428"/>
      <c r="J5" s="428"/>
      <c r="K5" s="428"/>
      <c r="L5" s="428"/>
      <c r="M5" s="428"/>
    </row>
    <row r="6" spans="1:13" ht="15" customHeight="1" x14ac:dyDescent="0.25">
      <c r="B6" s="431" t="s">
        <v>387</v>
      </c>
      <c r="C6" s="431"/>
      <c r="D6" s="431"/>
      <c r="E6" s="431"/>
      <c r="F6" s="431"/>
      <c r="G6" s="431"/>
      <c r="H6" s="431"/>
      <c r="I6" s="431"/>
      <c r="J6" s="431"/>
      <c r="K6" s="431"/>
      <c r="L6" s="431"/>
      <c r="M6" s="431"/>
    </row>
    <row r="7" spans="1:13" ht="15" customHeight="1" x14ac:dyDescent="0.25">
      <c r="A7" s="430" t="s">
        <v>386</v>
      </c>
      <c r="B7" s="430"/>
      <c r="C7" s="430"/>
      <c r="D7" s="430"/>
      <c r="E7" s="595">
        <f>500</f>
        <v>500</v>
      </c>
      <c r="F7" s="595"/>
      <c r="G7" s="595"/>
      <c r="H7" s="431" t="s">
        <v>327</v>
      </c>
      <c r="I7" s="431"/>
      <c r="J7" s="431"/>
      <c r="K7" s="431"/>
      <c r="L7" s="431"/>
      <c r="M7" s="431"/>
    </row>
    <row r="8" spans="1:13" ht="15" customHeight="1" x14ac:dyDescent="0.25">
      <c r="A8" s="596" t="s">
        <v>388</v>
      </c>
      <c r="B8" s="596"/>
      <c r="C8" s="596"/>
      <c r="D8" s="596"/>
      <c r="E8" s="596"/>
      <c r="F8" s="596"/>
      <c r="G8" s="596"/>
      <c r="H8" s="596"/>
      <c r="I8" s="596"/>
      <c r="J8" s="596"/>
      <c r="K8" s="597">
        <f>40</f>
        <v>40</v>
      </c>
      <c r="L8" s="597"/>
      <c r="M8" s="597"/>
    </row>
    <row r="9" spans="1:13" ht="15" customHeight="1" x14ac:dyDescent="0.25"/>
    <row r="10" spans="1:13" ht="15" customHeight="1" x14ac:dyDescent="0.25">
      <c r="B10" s="438" t="s">
        <v>328</v>
      </c>
      <c r="C10" s="438"/>
      <c r="D10" s="438"/>
      <c r="E10" s="438"/>
      <c r="F10" s="438"/>
    </row>
    <row r="11" spans="1:13" ht="15" customHeight="1" x14ac:dyDescent="0.25">
      <c r="B11" s="327">
        <f>30</f>
        <v>30</v>
      </c>
      <c r="C11" s="603">
        <f>200</f>
        <v>200</v>
      </c>
      <c r="D11" s="603"/>
      <c r="E11" s="431" t="s">
        <v>329</v>
      </c>
      <c r="F11" s="431"/>
      <c r="G11" s="431"/>
      <c r="H11" s="431"/>
      <c r="I11" s="431"/>
      <c r="J11" s="431"/>
      <c r="K11" s="431"/>
      <c r="L11" s="363"/>
      <c r="M11" s="363"/>
    </row>
    <row r="12" spans="1:13" ht="15" customHeight="1" x14ac:dyDescent="0.25">
      <c r="C12" s="363"/>
      <c r="D12" s="363"/>
      <c r="E12" s="363"/>
    </row>
    <row r="13" spans="1:13" x14ac:dyDescent="0.25">
      <c r="B13" s="476" t="s">
        <v>330</v>
      </c>
      <c r="C13" s="476"/>
      <c r="D13" s="476"/>
    </row>
    <row r="14" spans="1:13" x14ac:dyDescent="0.25">
      <c r="B14" s="431" t="s">
        <v>331</v>
      </c>
      <c r="C14" s="431"/>
      <c r="D14" s="431"/>
      <c r="E14" s="431"/>
    </row>
    <row r="15" spans="1:13" ht="17.25" x14ac:dyDescent="0.25">
      <c r="B15" s="428" t="s">
        <v>332</v>
      </c>
      <c r="C15" s="428"/>
      <c r="D15" s="53" t="s">
        <v>333</v>
      </c>
      <c r="F15" s="101" t="s">
        <v>2</v>
      </c>
      <c r="G15" s="159">
        <f>40</f>
        <v>40</v>
      </c>
      <c r="H15" s="160">
        <f>12</f>
        <v>12</v>
      </c>
      <c r="I15" s="103">
        <f>16</f>
        <v>16</v>
      </c>
      <c r="J15" s="161">
        <f>3</f>
        <v>3</v>
      </c>
    </row>
    <row r="16" spans="1:13" x14ac:dyDescent="0.25">
      <c r="F16" s="101" t="s">
        <v>2</v>
      </c>
      <c r="G16" s="156">
        <f>G15</f>
        <v>40</v>
      </c>
      <c r="H16" s="157">
        <f>H15</f>
        <v>12</v>
      </c>
      <c r="I16" s="555">
        <f>I15*J15</f>
        <v>48</v>
      </c>
      <c r="J16" s="555"/>
      <c r="K16" s="162">
        <f>G16+H16+I16</f>
        <v>100</v>
      </c>
    </row>
    <row r="17" spans="1:12" ht="17.25" x14ac:dyDescent="0.25">
      <c r="B17" s="428" t="s">
        <v>332</v>
      </c>
      <c r="C17" s="428"/>
      <c r="D17" s="53" t="s">
        <v>336</v>
      </c>
      <c r="F17" s="101" t="s">
        <v>2</v>
      </c>
      <c r="G17" s="156">
        <f>G16</f>
        <v>40</v>
      </c>
      <c r="H17" s="555">
        <f>I15</f>
        <v>16</v>
      </c>
      <c r="I17" s="555"/>
      <c r="J17" s="162">
        <f>G17+H17</f>
        <v>56</v>
      </c>
    </row>
    <row r="19" spans="1:12" ht="17.25" x14ac:dyDescent="0.25">
      <c r="A19" s="558">
        <f>100</f>
        <v>100</v>
      </c>
      <c r="B19" s="558"/>
      <c r="C19" s="53" t="s">
        <v>333</v>
      </c>
      <c r="D19" s="431" t="s">
        <v>335</v>
      </c>
      <c r="E19" s="431"/>
      <c r="F19" s="101" t="s">
        <v>2</v>
      </c>
      <c r="G19" s="559">
        <f>J17</f>
        <v>56</v>
      </c>
      <c r="H19" s="559"/>
      <c r="I19" s="480" t="s">
        <v>334</v>
      </c>
      <c r="J19" s="480"/>
    </row>
    <row r="20" spans="1:12" ht="17.25" customHeight="1" x14ac:dyDescent="0.25">
      <c r="A20" s="556">
        <f>A19+10</f>
        <v>110</v>
      </c>
      <c r="B20" s="430"/>
      <c r="C20" s="53" t="s">
        <v>333</v>
      </c>
      <c r="D20" s="431" t="s">
        <v>335</v>
      </c>
      <c r="E20" s="431"/>
      <c r="F20" s="101" t="s">
        <v>2</v>
      </c>
      <c r="G20" s="431" t="str">
        <f>" ( "&amp;G19&amp;" / "&amp;A19&amp;" ) x "&amp;A20</f>
        <v xml:space="preserve"> ( 56 / 100 ) x 110</v>
      </c>
      <c r="H20" s="431"/>
      <c r="I20" s="431"/>
      <c r="J20" s="431"/>
    </row>
    <row r="21" spans="1:12" x14ac:dyDescent="0.25">
      <c r="F21" s="101" t="s">
        <v>2</v>
      </c>
      <c r="G21" s="557">
        <f>G19/A19*A20</f>
        <v>61.600000000000009</v>
      </c>
      <c r="H21" s="557"/>
      <c r="I21" s="480" t="s">
        <v>334</v>
      </c>
      <c r="J21" s="480"/>
    </row>
    <row r="23" spans="1:12" x14ac:dyDescent="0.25">
      <c r="B23" s="431" t="s">
        <v>337</v>
      </c>
      <c r="C23" s="431"/>
      <c r="D23" s="431"/>
      <c r="E23" s="431"/>
    </row>
    <row r="24" spans="1:12" ht="15" customHeight="1" x14ac:dyDescent="0.25">
      <c r="A24" s="430" t="s">
        <v>698</v>
      </c>
      <c r="B24" s="430"/>
      <c r="C24" s="430"/>
      <c r="D24" s="430"/>
      <c r="E24" s="430"/>
      <c r="F24" s="105" t="s">
        <v>2</v>
      </c>
      <c r="G24" s="103">
        <f>24</f>
        <v>24</v>
      </c>
    </row>
    <row r="25" spans="1:12" ht="15" customHeight="1" x14ac:dyDescent="0.25">
      <c r="A25" s="561">
        <f>G24</f>
        <v>24</v>
      </c>
      <c r="B25" s="561"/>
      <c r="C25" s="431" t="s">
        <v>338</v>
      </c>
      <c r="D25" s="431"/>
      <c r="E25" s="101" t="s">
        <v>339</v>
      </c>
      <c r="F25" s="101" t="s">
        <v>2</v>
      </c>
      <c r="G25" s="559">
        <f>G19</f>
        <v>56</v>
      </c>
      <c r="H25" s="559"/>
      <c r="I25" s="480" t="s">
        <v>334</v>
      </c>
      <c r="J25" s="480"/>
    </row>
    <row r="26" spans="1:12" ht="16.5" customHeight="1" x14ac:dyDescent="0.25">
      <c r="A26" s="560">
        <f>1</f>
        <v>1</v>
      </c>
      <c r="B26" s="560"/>
      <c r="C26" s="431" t="s">
        <v>338</v>
      </c>
      <c r="D26" s="431"/>
      <c r="E26" s="101" t="s">
        <v>339</v>
      </c>
      <c r="F26" s="101" t="s">
        <v>2</v>
      </c>
      <c r="G26" s="559" t="str">
        <f>" ( "&amp;G25&amp;" / "&amp;A25&amp;" ) "</f>
        <v xml:space="preserve"> ( 56 / 24 ) </v>
      </c>
      <c r="H26" s="559"/>
      <c r="I26" s="428" t="s">
        <v>340</v>
      </c>
      <c r="J26" s="428"/>
      <c r="K26" s="53" t="s">
        <v>334</v>
      </c>
      <c r="L26" s="53"/>
    </row>
    <row r="27" spans="1:12" ht="17.25" x14ac:dyDescent="0.25">
      <c r="A27" s="560">
        <f>3.5</f>
        <v>3.5</v>
      </c>
      <c r="B27" s="560"/>
      <c r="C27" s="431" t="s">
        <v>338</v>
      </c>
      <c r="D27" s="431"/>
      <c r="E27" s="101" t="s">
        <v>339</v>
      </c>
      <c r="F27" s="101" t="s">
        <v>2</v>
      </c>
      <c r="G27" s="428" t="str">
        <f>" ( "&amp;G25&amp;" / "&amp;A25&amp;" ) x "&amp;A27</f>
        <v xml:space="preserve"> ( 56 / 24 ) x 3.5</v>
      </c>
      <c r="H27" s="428"/>
      <c r="I27" s="428" t="s">
        <v>340</v>
      </c>
      <c r="J27" s="428"/>
      <c r="K27" s="53" t="s">
        <v>334</v>
      </c>
    </row>
    <row r="28" spans="1:12" ht="17.25" x14ac:dyDescent="0.25">
      <c r="F28" s="101" t="s">
        <v>2</v>
      </c>
      <c r="G28" s="101">
        <f>ROUND((G25/A25)*A27,1)</f>
        <v>8.1999999999999993</v>
      </c>
      <c r="H28" s="428" t="s">
        <v>340</v>
      </c>
      <c r="I28" s="428"/>
      <c r="J28" s="53" t="s">
        <v>334</v>
      </c>
    </row>
    <row r="29" spans="1:12" x14ac:dyDescent="0.25">
      <c r="B29" s="428" t="s">
        <v>341</v>
      </c>
      <c r="C29" s="428"/>
      <c r="D29" s="428"/>
      <c r="E29" s="428"/>
      <c r="F29" s="101" t="s">
        <v>2</v>
      </c>
      <c r="G29" s="428" t="str">
        <f>" ( "&amp;G21&amp;" + "&amp;G28&amp;" ) = "</f>
        <v xml:space="preserve"> ( 61.6 + 8.2 ) = </v>
      </c>
      <c r="H29" s="428"/>
      <c r="I29" s="564">
        <f>G21+G28</f>
        <v>69.800000000000011</v>
      </c>
      <c r="J29" s="564"/>
      <c r="K29" s="564"/>
    </row>
    <row r="30" spans="1:12" ht="15" customHeight="1" x14ac:dyDescent="0.25">
      <c r="A30" s="563">
        <f>56</f>
        <v>56</v>
      </c>
      <c r="B30" s="563"/>
      <c r="C30" s="428" t="s">
        <v>342</v>
      </c>
      <c r="D30" s="428"/>
      <c r="E30" s="428"/>
      <c r="F30" s="428"/>
      <c r="G30" s="428"/>
      <c r="H30" s="163">
        <f>74</f>
        <v>74</v>
      </c>
      <c r="I30" s="431" t="s">
        <v>343</v>
      </c>
      <c r="J30" s="431"/>
      <c r="K30" s="431"/>
      <c r="L30" s="431"/>
    </row>
    <row r="31" spans="1:12" x14ac:dyDescent="0.25">
      <c r="B31" s="431" t="s">
        <v>344</v>
      </c>
      <c r="C31" s="431"/>
      <c r="D31" s="431"/>
      <c r="E31" s="431"/>
      <c r="F31" s="101" t="s">
        <v>2</v>
      </c>
      <c r="G31" s="431" t="str">
        <f>" ( "&amp;I29&amp;" x "&amp;H30&amp;" ) / "&amp;A30&amp;" = "</f>
        <v xml:space="preserve"> ( 69.8 x 74 ) / 56 = </v>
      </c>
      <c r="H31" s="431"/>
      <c r="I31" s="431"/>
      <c r="J31" s="431">
        <f>ROUND(I29*H30/A30,2)</f>
        <v>92.24</v>
      </c>
      <c r="K31" s="431"/>
    </row>
    <row r="33" spans="1:18" x14ac:dyDescent="0.25">
      <c r="A33" s="102" t="s">
        <v>237</v>
      </c>
      <c r="B33" s="491" t="s">
        <v>355</v>
      </c>
      <c r="C33" s="491"/>
    </row>
    <row r="34" spans="1:18" x14ac:dyDescent="0.25">
      <c r="B34" s="431" t="s">
        <v>345</v>
      </c>
      <c r="C34" s="431"/>
      <c r="D34" s="431"/>
      <c r="E34" s="431"/>
      <c r="F34" s="431"/>
      <c r="G34" s="431"/>
      <c r="H34" s="431"/>
      <c r="I34" s="431"/>
    </row>
    <row r="35" spans="1:18" ht="15" customHeight="1" x14ac:dyDescent="0.25">
      <c r="A35" s="430" t="s">
        <v>700</v>
      </c>
      <c r="B35" s="430"/>
      <c r="C35" s="430"/>
      <c r="D35" s="430"/>
      <c r="E35" s="430"/>
      <c r="F35" s="101" t="s">
        <v>2</v>
      </c>
      <c r="G35" s="164">
        <f>11</f>
        <v>11</v>
      </c>
      <c r="H35" s="157">
        <f>H16</f>
        <v>12</v>
      </c>
      <c r="I35" s="101">
        <f>I15</f>
        <v>16</v>
      </c>
      <c r="J35" s="158">
        <f>J15</f>
        <v>3</v>
      </c>
    </row>
    <row r="36" spans="1:18" x14ac:dyDescent="0.25">
      <c r="F36" s="101" t="s">
        <v>2</v>
      </c>
      <c r="G36" s="156">
        <f>G35*2</f>
        <v>22</v>
      </c>
      <c r="H36" s="157">
        <f>H35</f>
        <v>12</v>
      </c>
      <c r="I36" s="562">
        <f>I16</f>
        <v>48</v>
      </c>
      <c r="J36" s="428"/>
      <c r="K36" s="162">
        <f>G36+H36+I36</f>
        <v>82</v>
      </c>
    </row>
    <row r="37" spans="1:18" ht="15" customHeight="1" x14ac:dyDescent="0.25">
      <c r="A37" s="558">
        <f>100</f>
        <v>100</v>
      </c>
      <c r="B37" s="558"/>
      <c r="C37" s="570" t="s">
        <v>346</v>
      </c>
      <c r="D37" s="570"/>
      <c r="E37" s="570"/>
      <c r="F37" s="570"/>
      <c r="G37" s="570"/>
      <c r="H37" s="569">
        <f>106</f>
        <v>106</v>
      </c>
      <c r="I37" s="569"/>
      <c r="J37" s="569"/>
      <c r="K37" s="571" t="s">
        <v>347</v>
      </c>
      <c r="L37" s="571"/>
    </row>
    <row r="38" spans="1:18" ht="15" customHeight="1" x14ac:dyDescent="0.25">
      <c r="B38" s="568">
        <f>G21</f>
        <v>61.600000000000009</v>
      </c>
      <c r="C38" s="568"/>
      <c r="D38" s="569" t="s">
        <v>348</v>
      </c>
      <c r="E38" s="569"/>
      <c r="F38" s="101" t="s">
        <v>2</v>
      </c>
      <c r="G38" s="428" t="str">
        <f>" ( "&amp;H37&amp;" / "&amp;A37&amp;" ) x "&amp;B38&amp;" = "</f>
        <v xml:space="preserve"> ( 106 / 100 ) x 61.6 = </v>
      </c>
      <c r="H38" s="428"/>
      <c r="I38" s="428"/>
      <c r="J38" s="565">
        <f>ROUND(H37/A37*B38,1)</f>
        <v>65.3</v>
      </c>
      <c r="K38" s="565"/>
      <c r="L38" s="566" t="s">
        <v>352</v>
      </c>
      <c r="M38" s="566"/>
    </row>
    <row r="39" spans="1:18" x14ac:dyDescent="0.25">
      <c r="Q39" s="428"/>
      <c r="R39" s="428"/>
    </row>
    <row r="40" spans="1:18" ht="15" customHeight="1" x14ac:dyDescent="0.25">
      <c r="B40" s="430" t="s">
        <v>349</v>
      </c>
      <c r="C40" s="430"/>
      <c r="D40" s="430"/>
      <c r="E40" s="430"/>
      <c r="F40" s="101" t="s">
        <v>2</v>
      </c>
      <c r="G40" s="166">
        <f>J31</f>
        <v>92.24</v>
      </c>
      <c r="H40" s="567">
        <f>'Alum Quantity'!G23</f>
        <v>555.4799999999999</v>
      </c>
      <c r="I40" s="567"/>
      <c r="J40" s="169">
        <f>'Alum Quantity'!D26</f>
        <v>180</v>
      </c>
      <c r="K40" s="169">
        <f>'Alum Quantity'!I23</f>
        <v>24</v>
      </c>
      <c r="L40" s="125">
        <f>'Alum Quantity'!H23</f>
        <v>1000</v>
      </c>
    </row>
    <row r="41" spans="1:18" x14ac:dyDescent="0.25">
      <c r="H41" s="429">
        <f>1000000</f>
        <v>1000000</v>
      </c>
      <c r="I41" s="429"/>
      <c r="J41" s="429"/>
    </row>
    <row r="42" spans="1:18" x14ac:dyDescent="0.25">
      <c r="F42" s="101" t="s">
        <v>2</v>
      </c>
      <c r="G42" s="575">
        <f>ROUND(G40*H40*J40*K40*L40/H41,2)</f>
        <v>221345.89</v>
      </c>
      <c r="H42" s="575"/>
    </row>
    <row r="43" spans="1:18" ht="15" customHeight="1" x14ac:dyDescent="0.25">
      <c r="A43" s="430" t="s">
        <v>350</v>
      </c>
      <c r="B43" s="430"/>
      <c r="C43" s="430"/>
      <c r="D43" s="576">
        <f>50</f>
        <v>50</v>
      </c>
      <c r="E43" s="576"/>
    </row>
    <row r="44" spans="1:18" ht="15" customHeight="1" x14ac:dyDescent="0.25">
      <c r="B44" s="430" t="s">
        <v>351</v>
      </c>
      <c r="C44" s="430"/>
      <c r="D44" s="430"/>
      <c r="E44" s="430"/>
      <c r="F44" s="428" t="s">
        <v>2</v>
      </c>
      <c r="G44" s="577">
        <f>G42</f>
        <v>221345.89</v>
      </c>
      <c r="H44" s="577"/>
      <c r="I44" s="428" t="s">
        <v>2</v>
      </c>
      <c r="J44" s="573">
        <f>ROUND(G44/G45,1)</f>
        <v>4426.8999999999996</v>
      </c>
      <c r="K44" s="574">
        <f>4427</f>
        <v>4427</v>
      </c>
      <c r="L44" s="574"/>
      <c r="M44" s="574"/>
    </row>
    <row r="45" spans="1:18" x14ac:dyDescent="0.25">
      <c r="B45" s="430"/>
      <c r="C45" s="430"/>
      <c r="D45" s="430"/>
      <c r="E45" s="430"/>
      <c r="F45" s="428"/>
      <c r="G45" s="572">
        <f>D43</f>
        <v>50</v>
      </c>
      <c r="H45" s="572"/>
      <c r="I45" s="428"/>
      <c r="J45" s="573"/>
      <c r="K45" s="574"/>
      <c r="L45" s="574"/>
      <c r="M45" s="574"/>
    </row>
    <row r="46" spans="1:18" x14ac:dyDescent="0.25">
      <c r="G46" s="179"/>
      <c r="H46" s="179"/>
      <c r="J46" s="180"/>
      <c r="K46" s="181"/>
      <c r="L46" s="181"/>
      <c r="M46" s="181"/>
    </row>
    <row r="48" spans="1:18" ht="15" customHeight="1" x14ac:dyDescent="0.25">
      <c r="B48" s="580">
        <f>15</f>
        <v>15</v>
      </c>
      <c r="C48" s="580"/>
      <c r="D48" s="428" t="s">
        <v>323</v>
      </c>
      <c r="E48" s="428"/>
      <c r="F48" s="101" t="s">
        <v>2</v>
      </c>
      <c r="G48" s="553" t="str">
        <f>" ( "&amp;K44&amp;" / "&amp;B48&amp;" ) = "</f>
        <v xml:space="preserve"> ( 4427 / 15 ) = </v>
      </c>
      <c r="H48" s="553"/>
      <c r="I48" s="550">
        <f>K44/B48</f>
        <v>295.13333333333333</v>
      </c>
      <c r="J48" s="550"/>
      <c r="K48" s="431" t="s">
        <v>353</v>
      </c>
      <c r="L48" s="431"/>
      <c r="M48" s="431"/>
    </row>
    <row r="49" spans="1:13" x14ac:dyDescent="0.25">
      <c r="B49" s="554">
        <f>0.2</f>
        <v>0.2</v>
      </c>
      <c r="C49" s="554"/>
      <c r="D49" s="554"/>
      <c r="E49" s="431" t="s">
        <v>354</v>
      </c>
      <c r="F49" s="431"/>
      <c r="G49" s="431"/>
      <c r="H49" s="431"/>
      <c r="I49" s="579">
        <f>ROUND(B49*I48,2)</f>
        <v>59.03</v>
      </c>
      <c r="J49" s="579"/>
      <c r="K49" s="110" t="s">
        <v>99</v>
      </c>
    </row>
    <row r="51" spans="1:13" ht="15" customHeight="1" x14ac:dyDescent="0.25">
      <c r="A51" s="430" t="s">
        <v>356</v>
      </c>
      <c r="B51" s="430"/>
      <c r="C51" s="430"/>
      <c r="D51" s="430"/>
      <c r="E51" s="430"/>
      <c r="F51" s="101" t="s">
        <v>2</v>
      </c>
      <c r="G51" s="166">
        <f>J38</f>
        <v>65.3</v>
      </c>
      <c r="H51" s="567">
        <f>H40</f>
        <v>555.4799999999999</v>
      </c>
      <c r="I51" s="567"/>
      <c r="J51" s="168">
        <f>J40</f>
        <v>180</v>
      </c>
      <c r="K51" s="168">
        <f>K40</f>
        <v>24</v>
      </c>
      <c r="L51" s="109">
        <f>L40</f>
        <v>1000</v>
      </c>
    </row>
    <row r="52" spans="1:13" x14ac:dyDescent="0.25">
      <c r="H52" s="428">
        <f>H41</f>
        <v>1000000</v>
      </c>
      <c r="I52" s="428"/>
      <c r="J52" s="428"/>
    </row>
    <row r="53" spans="1:13" x14ac:dyDescent="0.25">
      <c r="F53" s="101" t="s">
        <v>2</v>
      </c>
      <c r="G53" s="578">
        <f>ROUND(G51*H51*J51*K51*L51/H52,2)</f>
        <v>156698.69</v>
      </c>
      <c r="H53" s="578"/>
    </row>
    <row r="54" spans="1:13" x14ac:dyDescent="0.25">
      <c r="B54" s="428" t="s">
        <v>351</v>
      </c>
      <c r="C54" s="428"/>
      <c r="D54" s="428"/>
      <c r="E54" s="428"/>
      <c r="F54" s="428" t="s">
        <v>2</v>
      </c>
      <c r="G54" s="577">
        <f>G53</f>
        <v>156698.69</v>
      </c>
      <c r="H54" s="577"/>
      <c r="I54" s="428" t="s">
        <v>2</v>
      </c>
      <c r="J54" s="573">
        <f>ROUND(G54/G55,1)</f>
        <v>3134</v>
      </c>
      <c r="K54" s="574">
        <v>3134</v>
      </c>
      <c r="L54" s="574"/>
      <c r="M54" s="574"/>
    </row>
    <row r="55" spans="1:13" x14ac:dyDescent="0.25">
      <c r="B55" s="428"/>
      <c r="C55" s="428"/>
      <c r="D55" s="428"/>
      <c r="E55" s="428"/>
      <c r="F55" s="428"/>
      <c r="G55" s="572">
        <f>D43</f>
        <v>50</v>
      </c>
      <c r="H55" s="572"/>
      <c r="I55" s="428"/>
      <c r="J55" s="573"/>
      <c r="K55" s="574"/>
      <c r="L55" s="574"/>
      <c r="M55" s="574"/>
    </row>
    <row r="56" spans="1:13" x14ac:dyDescent="0.25">
      <c r="B56" s="580">
        <f>15</f>
        <v>15</v>
      </c>
      <c r="C56" s="580"/>
      <c r="D56" s="428" t="s">
        <v>323</v>
      </c>
      <c r="E56" s="428"/>
      <c r="F56" s="101" t="s">
        <v>2</v>
      </c>
      <c r="G56" s="553" t="str">
        <f>" ( "&amp;K54&amp;" / "&amp;B56&amp;" ) = "</f>
        <v xml:space="preserve"> ( 3134 / 15 ) = </v>
      </c>
      <c r="H56" s="553"/>
      <c r="I56" s="550">
        <f>K54/B56</f>
        <v>208.93333333333334</v>
      </c>
      <c r="J56" s="550"/>
      <c r="K56" s="431" t="s">
        <v>353</v>
      </c>
      <c r="L56" s="431"/>
      <c r="M56" s="431"/>
    </row>
    <row r="57" spans="1:13" x14ac:dyDescent="0.25">
      <c r="B57" s="554">
        <f>0.2</f>
        <v>0.2</v>
      </c>
      <c r="C57" s="554"/>
      <c r="D57" s="554"/>
      <c r="E57" s="431" t="s">
        <v>354</v>
      </c>
      <c r="F57" s="431"/>
      <c r="G57" s="431"/>
      <c r="H57" s="431"/>
      <c r="I57" s="579">
        <f>ROUND(B57*I56,2)</f>
        <v>41.79</v>
      </c>
      <c r="J57" s="579"/>
      <c r="K57" s="110" t="s">
        <v>99</v>
      </c>
    </row>
    <row r="59" spans="1:13" x14ac:dyDescent="0.25">
      <c r="B59" s="428" t="s">
        <v>357</v>
      </c>
      <c r="C59" s="428"/>
      <c r="D59" s="428"/>
      <c r="E59" s="428"/>
      <c r="F59" s="101" t="s">
        <v>2</v>
      </c>
      <c r="G59" s="428" t="str">
        <f>" ( "&amp;'Alum Quantity'!I33&amp;" + "&amp;'Lime-Soda Process'!I49&amp;" + "&amp;'Lime-Soda Process'!I57&amp;" ) = "</f>
        <v xml:space="preserve"> ( 32 + 59.03 + 41.79 ) = </v>
      </c>
      <c r="H59" s="428"/>
      <c r="I59" s="428"/>
      <c r="J59" s="428"/>
      <c r="K59" s="583">
        <f>'Alum Quantity'!I33+'Lime-Soda Process'!I49+'Lime-Soda Process'!I57</f>
        <v>132.82</v>
      </c>
      <c r="L59" s="583"/>
      <c r="M59" s="110" t="s">
        <v>99</v>
      </c>
    </row>
    <row r="60" spans="1:13" x14ac:dyDescent="0.25">
      <c r="A60" s="584">
        <f>30</f>
        <v>30</v>
      </c>
      <c r="B60" s="584"/>
      <c r="C60" s="428" t="s">
        <v>358</v>
      </c>
      <c r="D60" s="428"/>
      <c r="E60" s="428"/>
      <c r="F60" s="428"/>
      <c r="G60" s="428"/>
      <c r="H60" s="428" t="s">
        <v>359</v>
      </c>
      <c r="I60" s="428"/>
      <c r="J60" s="428"/>
      <c r="K60" s="583">
        <f>K59*(1+A60/100)</f>
        <v>172.666</v>
      </c>
      <c r="L60" s="583"/>
      <c r="M60" s="110" t="s">
        <v>99</v>
      </c>
    </row>
    <row r="62" spans="1:13" x14ac:dyDescent="0.25">
      <c r="B62" s="428" t="s">
        <v>360</v>
      </c>
      <c r="C62" s="428"/>
      <c r="D62" s="428"/>
      <c r="E62" s="428"/>
      <c r="G62" s="101" t="s">
        <v>361</v>
      </c>
      <c r="H62" s="581">
        <v>15</v>
      </c>
      <c r="I62" s="581"/>
      <c r="J62" s="101" t="s">
        <v>362</v>
      </c>
      <c r="K62" s="582">
        <f>12</f>
        <v>12</v>
      </c>
      <c r="L62" s="582"/>
    </row>
    <row r="63" spans="1:13" x14ac:dyDescent="0.25">
      <c r="D63" s="428" t="s">
        <v>363</v>
      </c>
      <c r="E63" s="428"/>
      <c r="F63" s="101" t="s">
        <v>2</v>
      </c>
      <c r="G63" s="428" t="str">
        <f>" ( "&amp;H62&amp;" x "&amp;K62&amp;" ) = "</f>
        <v xml:space="preserve"> ( 15 x 12 ) = </v>
      </c>
      <c r="H63" s="428"/>
      <c r="I63" s="583">
        <f>H62*K62</f>
        <v>180</v>
      </c>
      <c r="J63" s="583"/>
      <c r="K63" s="110" t="s">
        <v>99</v>
      </c>
    </row>
    <row r="64" spans="1:13" s="380" customFormat="1" ht="15" customHeight="1" x14ac:dyDescent="0.25">
      <c r="B64" s="430" t="s">
        <v>701</v>
      </c>
      <c r="C64" s="430"/>
      <c r="D64" s="428" t="str">
        <f>IF(I63&gt;K60," ( &lt; ) Greater than "," ( &gt; ) Less than ")</f>
        <v xml:space="preserve"> ( &lt; ) Greater than </v>
      </c>
      <c r="E64" s="428"/>
      <c r="F64" s="428"/>
      <c r="G64" s="428" t="s">
        <v>703</v>
      </c>
      <c r="H64" s="428"/>
      <c r="I64" s="428"/>
      <c r="J64" s="428"/>
      <c r="K64" s="363" t="str">
        <f>IF(I63&gt;I61," Ok. "," Not Ok &amp; increase the area. ")</f>
        <v xml:space="preserve"> Ok. </v>
      </c>
      <c r="L64" s="363"/>
      <c r="M64" s="363"/>
    </row>
    <row r="66" spans="1:16" x14ac:dyDescent="0.25">
      <c r="B66" s="438" t="s">
        <v>364</v>
      </c>
      <c r="C66" s="438"/>
      <c r="D66" s="438"/>
      <c r="E66" s="438"/>
    </row>
    <row r="67" spans="1:16" x14ac:dyDescent="0.25">
      <c r="B67" s="428" t="s">
        <v>365</v>
      </c>
      <c r="C67" s="428"/>
      <c r="D67" s="428"/>
      <c r="E67" s="428"/>
      <c r="F67" s="101" t="s">
        <v>2</v>
      </c>
      <c r="G67" s="431" t="str">
        <f>" ( "&amp;'Alum Quantity'!H26&amp;" + "&amp;'Lime-Soda Process'!G42&amp;" + "&amp;'Lime-Soda Process'!G53&amp;" ) "</f>
        <v xml:space="preserve"> ( 119984.4 + 221345.89 + 156698.69 ) </v>
      </c>
      <c r="H67" s="431"/>
      <c r="I67" s="431"/>
      <c r="J67" s="431"/>
      <c r="K67" s="431"/>
      <c r="L67" s="431"/>
      <c r="M67" s="431"/>
    </row>
    <row r="68" spans="1:16" x14ac:dyDescent="0.25">
      <c r="F68" s="101" t="s">
        <v>2</v>
      </c>
      <c r="G68" s="585">
        <f>'Alum Quantity'!H26+'Lime-Soda Process'!G42+'Lime-Soda Process'!G53</f>
        <v>498028.98000000004</v>
      </c>
      <c r="H68" s="428"/>
    </row>
    <row r="69" spans="1:16" ht="15" customHeight="1" x14ac:dyDescent="0.25">
      <c r="A69" s="430" t="s">
        <v>366</v>
      </c>
      <c r="B69" s="430"/>
      <c r="C69" s="430"/>
      <c r="D69" s="430"/>
      <c r="E69" s="430"/>
      <c r="F69" s="428" t="s">
        <v>2</v>
      </c>
      <c r="G69" s="586">
        <f>G68</f>
        <v>498028.98000000004</v>
      </c>
      <c r="H69" s="586"/>
      <c r="I69" s="428" t="s">
        <v>2</v>
      </c>
      <c r="J69" s="587">
        <f>ROUND(G69/G70,2)</f>
        <v>2766.83</v>
      </c>
    </row>
    <row r="70" spans="1:16" x14ac:dyDescent="0.25">
      <c r="A70" s="430"/>
      <c r="B70" s="430"/>
      <c r="C70" s="430"/>
      <c r="D70" s="430"/>
      <c r="E70" s="430"/>
      <c r="F70" s="428"/>
      <c r="G70" s="101">
        <f>'Alum Quantity'!D26</f>
        <v>180</v>
      </c>
      <c r="I70" s="428"/>
      <c r="J70" s="587"/>
    </row>
    <row r="71" spans="1:16" x14ac:dyDescent="0.25">
      <c r="B71" s="428" t="s">
        <v>351</v>
      </c>
      <c r="C71" s="428"/>
      <c r="D71" s="428"/>
      <c r="E71" s="428"/>
      <c r="F71" s="428" t="s">
        <v>2</v>
      </c>
      <c r="G71" s="577">
        <f>J69</f>
        <v>2766.83</v>
      </c>
      <c r="H71" s="577"/>
      <c r="I71" s="428" t="s">
        <v>2</v>
      </c>
      <c r="J71" s="573">
        <f>ROUND(G71/G72,1)</f>
        <v>55.3</v>
      </c>
      <c r="K71" s="574">
        <f>56</f>
        <v>56</v>
      </c>
      <c r="L71" s="574"/>
      <c r="M71" s="574"/>
    </row>
    <row r="72" spans="1:16" x14ac:dyDescent="0.25">
      <c r="B72" s="428"/>
      <c r="C72" s="428"/>
      <c r="D72" s="428"/>
      <c r="E72" s="428"/>
      <c r="F72" s="428"/>
      <c r="G72" s="572">
        <f>D43</f>
        <v>50</v>
      </c>
      <c r="H72" s="572"/>
      <c r="I72" s="428"/>
      <c r="J72" s="573"/>
      <c r="K72" s="574"/>
      <c r="L72" s="574"/>
      <c r="M72" s="574"/>
    </row>
    <row r="73" spans="1:16" x14ac:dyDescent="0.25">
      <c r="B73" s="580">
        <f>15</f>
        <v>15</v>
      </c>
      <c r="C73" s="580"/>
      <c r="D73" s="428" t="s">
        <v>323</v>
      </c>
      <c r="E73" s="428"/>
      <c r="F73" s="101" t="s">
        <v>2</v>
      </c>
      <c r="G73" s="553" t="str">
        <f>" ( "&amp;K71&amp;" / "&amp;B73&amp;" ) = "</f>
        <v xml:space="preserve"> ( 56 / 15 ) = </v>
      </c>
      <c r="H73" s="553"/>
      <c r="I73" s="588">
        <f>K71/B73</f>
        <v>3.7333333333333334</v>
      </c>
      <c r="J73" s="588"/>
      <c r="K73" s="431" t="s">
        <v>353</v>
      </c>
      <c r="L73" s="431"/>
      <c r="M73" s="431"/>
    </row>
    <row r="74" spans="1:16" x14ac:dyDescent="0.25">
      <c r="B74" s="554">
        <f>0.2</f>
        <v>0.2</v>
      </c>
      <c r="C74" s="554"/>
      <c r="D74" s="554"/>
      <c r="E74" s="431" t="s">
        <v>354</v>
      </c>
      <c r="F74" s="431"/>
      <c r="G74" s="431"/>
      <c r="H74" s="431"/>
      <c r="I74" s="579">
        <f>ROUND(B74*I73,2)</f>
        <v>0.75</v>
      </c>
      <c r="J74" s="579"/>
      <c r="K74" s="110" t="s">
        <v>99</v>
      </c>
    </row>
    <row r="75" spans="1:16" x14ac:dyDescent="0.25">
      <c r="B75" s="428" t="s">
        <v>360</v>
      </c>
      <c r="C75" s="428"/>
      <c r="D75" s="428"/>
      <c r="E75" s="428"/>
      <c r="G75" s="101" t="s">
        <v>361</v>
      </c>
      <c r="H75" s="581">
        <v>1.5</v>
      </c>
      <c r="I75" s="581"/>
      <c r="J75" s="101" t="s">
        <v>362</v>
      </c>
      <c r="K75" s="582">
        <v>1.5</v>
      </c>
      <c r="L75" s="582"/>
    </row>
    <row r="76" spans="1:16" x14ac:dyDescent="0.25">
      <c r="D76" s="428" t="s">
        <v>363</v>
      </c>
      <c r="E76" s="428"/>
      <c r="F76" s="101" t="s">
        <v>2</v>
      </c>
      <c r="G76" s="428" t="str">
        <f>" ( "&amp;H75&amp;" x "&amp;K75&amp;" ) = "</f>
        <v xml:space="preserve"> ( 1.5 x 1.5 ) = </v>
      </c>
      <c r="H76" s="428"/>
      <c r="I76" s="583">
        <f>H75*K75</f>
        <v>2.25</v>
      </c>
      <c r="J76" s="583"/>
      <c r="K76" s="110" t="s">
        <v>99</v>
      </c>
    </row>
    <row r="77" spans="1:16" x14ac:dyDescent="0.25">
      <c r="B77" s="428" t="s">
        <v>701</v>
      </c>
      <c r="C77" s="428"/>
      <c r="D77" s="428" t="str">
        <f>IF(I76&gt;I74," ( &lt; ) Greater than "," ( &gt; ) Less than ")</f>
        <v xml:space="preserve"> ( &lt; ) Greater than </v>
      </c>
      <c r="E77" s="428"/>
      <c r="F77" s="428"/>
      <c r="G77" s="428" t="s">
        <v>702</v>
      </c>
      <c r="H77" s="428"/>
      <c r="I77" s="428"/>
      <c r="J77" s="431" t="str">
        <f>IF(I76&gt;I74," Ok. "," Not Ok &amp; increase the area. ")</f>
        <v xml:space="preserve"> Ok. </v>
      </c>
      <c r="K77" s="431"/>
      <c r="L77" s="431"/>
      <c r="M77" s="431"/>
    </row>
    <row r="78" spans="1:16" x14ac:dyDescent="0.25">
      <c r="B78" s="438" t="s">
        <v>370</v>
      </c>
      <c r="C78" s="438"/>
      <c r="D78" s="438"/>
      <c r="E78" s="438"/>
    </row>
    <row r="79" spans="1:16" x14ac:dyDescent="0.25">
      <c r="A79" s="430" t="s">
        <v>366</v>
      </c>
      <c r="B79" s="430"/>
      <c r="C79" s="430"/>
      <c r="D79" s="430"/>
      <c r="E79" s="430"/>
      <c r="F79" s="428" t="s">
        <v>2</v>
      </c>
      <c r="G79" s="587">
        <f>J69</f>
        <v>2766.83</v>
      </c>
      <c r="O79" s="101" t="s">
        <v>367</v>
      </c>
      <c r="P79" s="101">
        <v>1.76</v>
      </c>
    </row>
    <row r="80" spans="1:16" x14ac:dyDescent="0.25">
      <c r="A80" s="430"/>
      <c r="B80" s="430"/>
      <c r="C80" s="430"/>
      <c r="D80" s="430"/>
      <c r="E80" s="430"/>
      <c r="F80" s="428"/>
      <c r="G80" s="428"/>
      <c r="O80" s="101" t="s">
        <v>368</v>
      </c>
      <c r="P80" s="101">
        <v>3.35</v>
      </c>
    </row>
    <row r="81" spans="1:16" x14ac:dyDescent="0.25">
      <c r="B81" s="428" t="s">
        <v>371</v>
      </c>
      <c r="C81" s="428"/>
      <c r="D81" s="428"/>
      <c r="E81" s="428"/>
      <c r="F81" s="101" t="s">
        <v>2</v>
      </c>
      <c r="G81" s="119">
        <f>G79</f>
        <v>2766.83</v>
      </c>
      <c r="H81" s="103">
        <v>20</v>
      </c>
      <c r="I81" s="101" t="s">
        <v>2</v>
      </c>
      <c r="J81" s="101">
        <f>G81*H81</f>
        <v>55336.6</v>
      </c>
      <c r="K81" s="428" t="s">
        <v>372</v>
      </c>
      <c r="L81" s="428"/>
      <c r="O81" s="101" t="s">
        <v>369</v>
      </c>
      <c r="P81" s="101">
        <v>1.1000000000000001</v>
      </c>
    </row>
    <row r="82" spans="1:16" ht="15" customHeight="1" x14ac:dyDescent="0.25">
      <c r="B82" s="428" t="s">
        <v>371</v>
      </c>
      <c r="C82" s="428"/>
      <c r="D82" s="428"/>
      <c r="E82" s="428"/>
      <c r="F82" s="101" t="s">
        <v>2</v>
      </c>
      <c r="G82" s="460">
        <f>J81</f>
        <v>55336.6</v>
      </c>
      <c r="H82" s="460"/>
      <c r="I82" s="428" t="s">
        <v>2</v>
      </c>
      <c r="J82" s="428">
        <f>ROUND(G82/(G83*H83),2)</f>
        <v>38.43</v>
      </c>
      <c r="K82" s="431" t="s">
        <v>373</v>
      </c>
      <c r="L82" s="431"/>
      <c r="P82" s="101">
        <f>AVERAGE(P79:P81)</f>
        <v>2.0700000000000003</v>
      </c>
    </row>
    <row r="83" spans="1:16" x14ac:dyDescent="0.25">
      <c r="G83" s="118">
        <f>24</f>
        <v>24</v>
      </c>
      <c r="H83" s="104">
        <f>60</f>
        <v>60</v>
      </c>
      <c r="I83" s="428"/>
      <c r="J83" s="428"/>
      <c r="K83" s="431"/>
      <c r="L83" s="431"/>
    </row>
    <row r="84" spans="1:16" ht="15" customHeight="1" x14ac:dyDescent="0.25">
      <c r="A84" s="430" t="s">
        <v>374</v>
      </c>
      <c r="B84" s="430"/>
      <c r="C84" s="430"/>
      <c r="D84" s="600">
        <f>8</f>
        <v>8</v>
      </c>
      <c r="E84" s="600"/>
      <c r="F84" s="101" t="s">
        <v>2</v>
      </c>
      <c r="G84" s="119">
        <f>J82</f>
        <v>38.43</v>
      </c>
      <c r="H84" s="165">
        <f>H83</f>
        <v>60</v>
      </c>
      <c r="I84" s="172">
        <f>D84</f>
        <v>8</v>
      </c>
      <c r="J84" s="601">
        <f>G84*H84*I84</f>
        <v>18446.400000000001</v>
      </c>
      <c r="K84" s="601"/>
    </row>
    <row r="85" spans="1:16" x14ac:dyDescent="0.25">
      <c r="F85" s="428" t="s">
        <v>2</v>
      </c>
      <c r="G85" s="173">
        <f>J84</f>
        <v>18446.400000000001</v>
      </c>
      <c r="H85" s="599">
        <f>G85/G86</f>
        <v>18.446400000000001</v>
      </c>
      <c r="I85" s="599"/>
      <c r="J85" s="480" t="s">
        <v>97</v>
      </c>
    </row>
    <row r="86" spans="1:16" x14ac:dyDescent="0.25">
      <c r="F86" s="428"/>
      <c r="G86" s="103">
        <f>1000</f>
        <v>1000</v>
      </c>
      <c r="H86" s="599"/>
      <c r="I86" s="599"/>
      <c r="J86" s="480"/>
    </row>
    <row r="87" spans="1:16" ht="15" customHeight="1" x14ac:dyDescent="0.25">
      <c r="B87" s="430" t="s">
        <v>375</v>
      </c>
      <c r="C87" s="430"/>
      <c r="D87" s="430"/>
      <c r="E87" s="81">
        <f>1.2</f>
        <v>1.2</v>
      </c>
      <c r="F87" s="602" t="s">
        <v>376</v>
      </c>
      <c r="G87" s="602"/>
      <c r="H87" s="602"/>
      <c r="I87" s="582">
        <f>0.3</f>
        <v>0.3</v>
      </c>
      <c r="J87" s="582"/>
    </row>
    <row r="88" spans="1:16" x14ac:dyDescent="0.25">
      <c r="B88" s="428" t="s">
        <v>377</v>
      </c>
      <c r="C88" s="428"/>
      <c r="D88" s="428"/>
      <c r="E88" s="428"/>
      <c r="F88" s="101" t="s">
        <v>2</v>
      </c>
      <c r="G88" s="174">
        <f>4.5</f>
        <v>4.5</v>
      </c>
      <c r="H88" s="598">
        <f>3.5</f>
        <v>3.5</v>
      </c>
      <c r="I88" s="598"/>
      <c r="J88" s="175">
        <f>E87+I87</f>
        <v>1.5</v>
      </c>
    </row>
    <row r="89" spans="1:16" x14ac:dyDescent="0.25">
      <c r="B89" s="428" t="s">
        <v>378</v>
      </c>
      <c r="C89" s="428"/>
      <c r="D89" s="428"/>
      <c r="E89" s="428"/>
      <c r="F89" s="101" t="s">
        <v>2</v>
      </c>
      <c r="G89" s="177">
        <f>G88*H88*J88</f>
        <v>23.625</v>
      </c>
      <c r="H89" s="53" t="s">
        <v>97</v>
      </c>
    </row>
    <row r="90" spans="1:16" x14ac:dyDescent="0.25">
      <c r="B90" s="438" t="s">
        <v>129</v>
      </c>
      <c r="C90" s="438"/>
    </row>
    <row r="91" spans="1:16" ht="15" customHeight="1" x14ac:dyDescent="0.25">
      <c r="B91" s="107" t="s">
        <v>21</v>
      </c>
      <c r="C91" s="461" t="s">
        <v>58</v>
      </c>
      <c r="D91" s="461"/>
      <c r="E91" s="461"/>
      <c r="F91" s="461"/>
      <c r="G91" s="461"/>
      <c r="H91" s="461" t="s">
        <v>79</v>
      </c>
      <c r="I91" s="461"/>
      <c r="J91" s="461"/>
    </row>
    <row r="92" spans="1:16" ht="15" customHeight="1" x14ac:dyDescent="0.25">
      <c r="B92" s="106">
        <v>1</v>
      </c>
      <c r="C92" s="440" t="s">
        <v>379</v>
      </c>
      <c r="D92" s="440"/>
      <c r="E92" s="440"/>
      <c r="F92" s="440"/>
      <c r="G92" s="440"/>
      <c r="H92" s="591">
        <f>'Alum Quantity'!F25</f>
        <v>666.58</v>
      </c>
      <c r="I92" s="591"/>
      <c r="J92" s="591"/>
    </row>
    <row r="93" spans="1:16" ht="15" customHeight="1" x14ac:dyDescent="0.25">
      <c r="B93" s="106">
        <v>2</v>
      </c>
      <c r="C93" s="440" t="s">
        <v>380</v>
      </c>
      <c r="D93" s="440"/>
      <c r="E93" s="440"/>
      <c r="F93" s="440"/>
      <c r="G93" s="440"/>
      <c r="H93" s="440">
        <f>J31</f>
        <v>92.24</v>
      </c>
      <c r="I93" s="440"/>
      <c r="J93" s="440"/>
    </row>
    <row r="94" spans="1:16" ht="15" customHeight="1" x14ac:dyDescent="0.25">
      <c r="B94" s="106">
        <v>3</v>
      </c>
      <c r="C94" s="440" t="s">
        <v>381</v>
      </c>
      <c r="D94" s="440"/>
      <c r="E94" s="440"/>
      <c r="F94" s="440"/>
      <c r="G94" s="440"/>
      <c r="H94" s="440">
        <f>J38</f>
        <v>65.3</v>
      </c>
      <c r="I94" s="440"/>
      <c r="J94" s="440"/>
    </row>
    <row r="95" spans="1:16" ht="15" customHeight="1" x14ac:dyDescent="0.25">
      <c r="B95" s="106">
        <v>4</v>
      </c>
      <c r="C95" s="440" t="s">
        <v>382</v>
      </c>
      <c r="D95" s="440"/>
      <c r="E95" s="440"/>
      <c r="F95" s="440"/>
      <c r="G95" s="440"/>
      <c r="H95" s="589">
        <f>H75</f>
        <v>1.5</v>
      </c>
      <c r="I95" s="590"/>
      <c r="J95" s="178">
        <f>K75</f>
        <v>1.5</v>
      </c>
    </row>
    <row r="96" spans="1:16" x14ac:dyDescent="0.25">
      <c r="B96" s="106">
        <v>5</v>
      </c>
      <c r="C96" s="440" t="s">
        <v>383</v>
      </c>
      <c r="D96" s="440"/>
      <c r="E96" s="440"/>
      <c r="F96" s="440"/>
      <c r="G96" s="440"/>
      <c r="H96" s="440" t="str">
        <f>""&amp;G88&amp;" x "&amp;H88&amp;" x "&amp;J88</f>
        <v>4.5 x 3.5 x 1.5</v>
      </c>
      <c r="I96" s="440"/>
      <c r="J96" s="440"/>
    </row>
  </sheetData>
  <mergeCells count="192">
    <mergeCell ref="F87:H87"/>
    <mergeCell ref="I87:J87"/>
    <mergeCell ref="A24:E24"/>
    <mergeCell ref="C11:D11"/>
    <mergeCell ref="E11:K11"/>
    <mergeCell ref="B40:E40"/>
    <mergeCell ref="A35:E35"/>
    <mergeCell ref="B77:C77"/>
    <mergeCell ref="D77:F77"/>
    <mergeCell ref="G77:I77"/>
    <mergeCell ref="J77:M77"/>
    <mergeCell ref="B64:C64"/>
    <mergeCell ref="D64:F64"/>
    <mergeCell ref="G64:J64"/>
    <mergeCell ref="I82:I83"/>
    <mergeCell ref="J82:J83"/>
    <mergeCell ref="K82:L83"/>
    <mergeCell ref="D76:E76"/>
    <mergeCell ref="G76:H76"/>
    <mergeCell ref="I76:J76"/>
    <mergeCell ref="B78:E78"/>
    <mergeCell ref="A79:E80"/>
    <mergeCell ref="F79:F80"/>
    <mergeCell ref="G79:G80"/>
    <mergeCell ref="B2:M2"/>
    <mergeCell ref="I30:L30"/>
    <mergeCell ref="B5:M5"/>
    <mergeCell ref="A7:D7"/>
    <mergeCell ref="E7:G7"/>
    <mergeCell ref="H7:M7"/>
    <mergeCell ref="A8:J8"/>
    <mergeCell ref="K8:M8"/>
    <mergeCell ref="C92:G92"/>
    <mergeCell ref="B88:E88"/>
    <mergeCell ref="H88:I88"/>
    <mergeCell ref="B89:E89"/>
    <mergeCell ref="B90:C90"/>
    <mergeCell ref="H85:I86"/>
    <mergeCell ref="F85:F86"/>
    <mergeCell ref="J85:J86"/>
    <mergeCell ref="B87:D87"/>
    <mergeCell ref="A84:C84"/>
    <mergeCell ref="D84:E84"/>
    <mergeCell ref="J84:K84"/>
    <mergeCell ref="B81:E81"/>
    <mergeCell ref="K81:L81"/>
    <mergeCell ref="B82:E82"/>
    <mergeCell ref="G82:H82"/>
    <mergeCell ref="C93:G93"/>
    <mergeCell ref="C94:G94"/>
    <mergeCell ref="C95:G95"/>
    <mergeCell ref="C96:G96"/>
    <mergeCell ref="H95:I95"/>
    <mergeCell ref="H91:J91"/>
    <mergeCell ref="H92:J92"/>
    <mergeCell ref="H93:J93"/>
    <mergeCell ref="H94:J94"/>
    <mergeCell ref="H96:J96"/>
    <mergeCell ref="C91:G91"/>
    <mergeCell ref="B74:D74"/>
    <mergeCell ref="E74:H74"/>
    <mergeCell ref="I74:J74"/>
    <mergeCell ref="B75:E75"/>
    <mergeCell ref="H75:I75"/>
    <mergeCell ref="K75:L75"/>
    <mergeCell ref="K71:M72"/>
    <mergeCell ref="G72:H72"/>
    <mergeCell ref="B73:C73"/>
    <mergeCell ref="D73:E73"/>
    <mergeCell ref="G73:H73"/>
    <mergeCell ref="I73:J73"/>
    <mergeCell ref="K73:M73"/>
    <mergeCell ref="A69:E70"/>
    <mergeCell ref="B71:E72"/>
    <mergeCell ref="F71:F72"/>
    <mergeCell ref="G71:H71"/>
    <mergeCell ref="I71:I72"/>
    <mergeCell ref="J71:J72"/>
    <mergeCell ref="B66:E66"/>
    <mergeCell ref="B67:E67"/>
    <mergeCell ref="G67:M67"/>
    <mergeCell ref="G68:H68"/>
    <mergeCell ref="G69:H69"/>
    <mergeCell ref="I69:I70"/>
    <mergeCell ref="F69:F70"/>
    <mergeCell ref="J69:J70"/>
    <mergeCell ref="B62:E62"/>
    <mergeCell ref="H62:I62"/>
    <mergeCell ref="K62:L62"/>
    <mergeCell ref="D63:E63"/>
    <mergeCell ref="G63:H63"/>
    <mergeCell ref="I63:J63"/>
    <mergeCell ref="B59:E59"/>
    <mergeCell ref="G59:J59"/>
    <mergeCell ref="K59:L59"/>
    <mergeCell ref="A60:B60"/>
    <mergeCell ref="C60:G60"/>
    <mergeCell ref="H60:J60"/>
    <mergeCell ref="K60:L60"/>
    <mergeCell ref="B56:C56"/>
    <mergeCell ref="D56:E56"/>
    <mergeCell ref="G56:H56"/>
    <mergeCell ref="I56:J56"/>
    <mergeCell ref="K56:M56"/>
    <mergeCell ref="B57:D57"/>
    <mergeCell ref="E57:H57"/>
    <mergeCell ref="I57:J57"/>
    <mergeCell ref="B54:E55"/>
    <mergeCell ref="F54:F55"/>
    <mergeCell ref="G54:H54"/>
    <mergeCell ref="I54:I55"/>
    <mergeCell ref="J54:J55"/>
    <mergeCell ref="K54:M55"/>
    <mergeCell ref="G55:H55"/>
    <mergeCell ref="H51:I51"/>
    <mergeCell ref="A51:E51"/>
    <mergeCell ref="H52:J52"/>
    <mergeCell ref="G53:H53"/>
    <mergeCell ref="G48:H48"/>
    <mergeCell ref="I48:J48"/>
    <mergeCell ref="K48:M48"/>
    <mergeCell ref="E49:H49"/>
    <mergeCell ref="I49:J49"/>
    <mergeCell ref="B48:C48"/>
    <mergeCell ref="B49:D49"/>
    <mergeCell ref="D48:E48"/>
    <mergeCell ref="G45:H45"/>
    <mergeCell ref="I44:I45"/>
    <mergeCell ref="F44:F45"/>
    <mergeCell ref="J44:J45"/>
    <mergeCell ref="K44:M45"/>
    <mergeCell ref="G42:H42"/>
    <mergeCell ref="A43:C43"/>
    <mergeCell ref="D43:E43"/>
    <mergeCell ref="G44:H44"/>
    <mergeCell ref="B44:E45"/>
    <mergeCell ref="J38:K38"/>
    <mergeCell ref="L38:M38"/>
    <mergeCell ref="Q39:R39"/>
    <mergeCell ref="H40:I40"/>
    <mergeCell ref="H41:J41"/>
    <mergeCell ref="B38:C38"/>
    <mergeCell ref="D38:E38"/>
    <mergeCell ref="G38:I38"/>
    <mergeCell ref="A37:B37"/>
    <mergeCell ref="C37:G37"/>
    <mergeCell ref="H37:J37"/>
    <mergeCell ref="K37:L37"/>
    <mergeCell ref="I36:J36"/>
    <mergeCell ref="A30:B30"/>
    <mergeCell ref="C30:G30"/>
    <mergeCell ref="B31:E31"/>
    <mergeCell ref="G31:I31"/>
    <mergeCell ref="J31:K31"/>
    <mergeCell ref="A27:B27"/>
    <mergeCell ref="C27:D27"/>
    <mergeCell ref="I27:J27"/>
    <mergeCell ref="G27:H27"/>
    <mergeCell ref="H28:I28"/>
    <mergeCell ref="B29:E29"/>
    <mergeCell ref="G29:H29"/>
    <mergeCell ref="I29:K29"/>
    <mergeCell ref="A26:B26"/>
    <mergeCell ref="C26:D26"/>
    <mergeCell ref="G26:H26"/>
    <mergeCell ref="I26:J26"/>
    <mergeCell ref="B23:E23"/>
    <mergeCell ref="A25:B25"/>
    <mergeCell ref="C25:D25"/>
    <mergeCell ref="B33:C33"/>
    <mergeCell ref="B34:I34"/>
    <mergeCell ref="G21:H21"/>
    <mergeCell ref="I21:J21"/>
    <mergeCell ref="B17:C17"/>
    <mergeCell ref="H17:I17"/>
    <mergeCell ref="A19:B19"/>
    <mergeCell ref="D19:E19"/>
    <mergeCell ref="G19:H19"/>
    <mergeCell ref="I19:J19"/>
    <mergeCell ref="G25:H25"/>
    <mergeCell ref="I25:J25"/>
    <mergeCell ref="B3:C3"/>
    <mergeCell ref="I16:J16"/>
    <mergeCell ref="B4:M4"/>
    <mergeCell ref="B6:M6"/>
    <mergeCell ref="B14:E14"/>
    <mergeCell ref="B15:C15"/>
    <mergeCell ref="B13:D13"/>
    <mergeCell ref="B10:F10"/>
    <mergeCell ref="A20:B20"/>
    <mergeCell ref="D20:E20"/>
    <mergeCell ref="G20:J20"/>
  </mergeCells>
  <pageMargins left="0.7" right="0.7" top="0.75" bottom="0.5" header="0.3" footer="0.3"/>
  <pageSetup paperSize="9" orientation="portrait" r:id="rId1"/>
  <rowBreaks count="1" manualBreakCount="1">
    <brk id="46" max="12" man="1"/>
  </rowBreaks>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K66"/>
  <sheetViews>
    <sheetView view="pageBreakPreview" zoomScaleNormal="100" zoomScaleSheetLayoutView="100" workbookViewId="0">
      <selection activeCell="B2" sqref="B2:J2"/>
    </sheetView>
  </sheetViews>
  <sheetFormatPr defaultRowHeight="15" x14ac:dyDescent="0.25"/>
  <cols>
    <col min="1" max="1" width="3.140625" style="101" bestFit="1" customWidth="1"/>
    <col min="2" max="2" width="9.140625" style="101"/>
    <col min="3" max="3" width="10" style="101" customWidth="1"/>
    <col min="4" max="4" width="6.140625" style="101" customWidth="1"/>
    <col min="5" max="5" width="2.85546875" style="101" customWidth="1"/>
    <col min="6" max="6" width="9.28515625" style="101" bestFit="1" customWidth="1"/>
    <col min="7" max="7" width="8.85546875" style="101" bestFit="1" customWidth="1"/>
    <col min="8" max="8" width="9.140625" style="101" bestFit="1" customWidth="1"/>
    <col min="9" max="9" width="4.5703125" style="101" bestFit="1" customWidth="1"/>
    <col min="10" max="10" width="9.7109375" style="101" customWidth="1"/>
    <col min="11" max="11" width="6.5703125" style="101" customWidth="1"/>
    <col min="12" max="16384" width="9.140625" style="101"/>
  </cols>
  <sheetData>
    <row r="2" spans="1:10" ht="15" customHeight="1" x14ac:dyDescent="0.25">
      <c r="B2" s="592" t="s">
        <v>389</v>
      </c>
      <c r="C2" s="593"/>
      <c r="D2" s="593"/>
      <c r="E2" s="593"/>
      <c r="F2" s="593"/>
      <c r="G2" s="593"/>
      <c r="H2" s="593"/>
      <c r="I2" s="593"/>
      <c r="J2" s="593"/>
    </row>
    <row r="4" spans="1:10" x14ac:dyDescent="0.25">
      <c r="B4" s="431" t="s">
        <v>390</v>
      </c>
      <c r="C4" s="431"/>
      <c r="D4" s="431"/>
      <c r="E4" s="101" t="s">
        <v>2</v>
      </c>
      <c r="F4" s="131">
        <f>30</f>
        <v>30</v>
      </c>
      <c r="G4" s="182">
        <f>60</f>
        <v>60</v>
      </c>
    </row>
    <row r="5" spans="1:10" x14ac:dyDescent="0.25">
      <c r="B5" s="431" t="s">
        <v>83</v>
      </c>
      <c r="C5" s="431"/>
      <c r="D5" s="431"/>
      <c r="E5" s="101" t="s">
        <v>2</v>
      </c>
      <c r="F5" s="131">
        <f>4</f>
        <v>4</v>
      </c>
      <c r="G5" s="606">
        <f>9</f>
        <v>9</v>
      </c>
      <c r="H5" s="606"/>
    </row>
    <row r="6" spans="1:10" x14ac:dyDescent="0.25">
      <c r="B6" s="431" t="s">
        <v>391</v>
      </c>
      <c r="C6" s="431"/>
      <c r="D6" s="431"/>
      <c r="E6" s="101" t="s">
        <v>2</v>
      </c>
      <c r="F6" s="131">
        <v>1</v>
      </c>
      <c r="G6" s="183">
        <f>3</f>
        <v>3</v>
      </c>
    </row>
    <row r="7" spans="1:10" ht="16.5" customHeight="1" x14ac:dyDescent="0.25">
      <c r="B7" s="431" t="s">
        <v>392</v>
      </c>
      <c r="C7" s="431"/>
      <c r="D7" s="431"/>
      <c r="E7" s="101" t="s">
        <v>2</v>
      </c>
      <c r="F7" s="604">
        <f>0.041</f>
        <v>4.1000000000000002E-2</v>
      </c>
      <c r="G7" s="604"/>
      <c r="H7" s="115">
        <f>1000</f>
        <v>1000</v>
      </c>
      <c r="I7" s="480" t="s">
        <v>395</v>
      </c>
      <c r="J7" s="480"/>
    </row>
    <row r="8" spans="1:10" x14ac:dyDescent="0.25">
      <c r="B8" s="431" t="s">
        <v>393</v>
      </c>
      <c r="C8" s="431"/>
      <c r="D8" s="431"/>
      <c r="E8" s="101" t="s">
        <v>2</v>
      </c>
      <c r="F8" s="131">
        <v>100</v>
      </c>
      <c r="G8" s="605">
        <v>250</v>
      </c>
      <c r="H8" s="605"/>
    </row>
    <row r="9" spans="1:10" x14ac:dyDescent="0.25">
      <c r="B9" s="431" t="s">
        <v>394</v>
      </c>
      <c r="C9" s="431"/>
      <c r="D9" s="431"/>
      <c r="E9" s="101" t="s">
        <v>2</v>
      </c>
      <c r="F9" s="51">
        <f>0.4</f>
        <v>0.4</v>
      </c>
      <c r="G9" s="184">
        <v>1</v>
      </c>
    </row>
    <row r="10" spans="1:10" ht="15" customHeight="1" x14ac:dyDescent="0.25">
      <c r="A10" s="428" t="s">
        <v>396</v>
      </c>
      <c r="B10" s="428"/>
      <c r="C10" s="428"/>
      <c r="D10" s="428"/>
      <c r="E10" s="428"/>
      <c r="F10" s="428"/>
      <c r="G10" s="428"/>
      <c r="H10" s="428"/>
    </row>
    <row r="11" spans="1:10" x14ac:dyDescent="0.25">
      <c r="E11" s="101" t="s">
        <v>2</v>
      </c>
      <c r="F11" s="185">
        <f>300</f>
        <v>300</v>
      </c>
      <c r="G11" s="431" t="s">
        <v>397</v>
      </c>
      <c r="H11" s="431"/>
    </row>
    <row r="12" spans="1:10" ht="15" customHeight="1" x14ac:dyDescent="0.25">
      <c r="A12" s="430" t="s">
        <v>398</v>
      </c>
      <c r="B12" s="430"/>
      <c r="C12" s="430"/>
      <c r="D12" s="430"/>
      <c r="E12" s="430"/>
      <c r="F12" s="430"/>
      <c r="G12" s="51">
        <f>0.2</f>
        <v>0.2</v>
      </c>
      <c r="H12" s="254">
        <v>0.4</v>
      </c>
    </row>
    <row r="13" spans="1:10" ht="15" customHeight="1" x14ac:dyDescent="0.25">
      <c r="A13" s="430" t="s">
        <v>399</v>
      </c>
      <c r="B13" s="430"/>
      <c r="C13" s="430"/>
      <c r="D13" s="430"/>
      <c r="E13" s="6" t="s">
        <v>2</v>
      </c>
      <c r="F13" s="131">
        <f>1</f>
        <v>1</v>
      </c>
      <c r="G13" s="188">
        <f>3</f>
        <v>3</v>
      </c>
    </row>
    <row r="15" spans="1:10" x14ac:dyDescent="0.25">
      <c r="B15" s="438" t="s">
        <v>197</v>
      </c>
      <c r="C15" s="438"/>
      <c r="D15" s="438"/>
    </row>
    <row r="16" spans="1:10" x14ac:dyDescent="0.25">
      <c r="B16" s="431" t="s">
        <v>400</v>
      </c>
      <c r="C16" s="431"/>
      <c r="E16" s="101" t="s">
        <v>2</v>
      </c>
      <c r="F16" s="35">
        <f>'Intake Design'!E23</f>
        <v>0.15429999999999999</v>
      </c>
      <c r="G16" s="508" t="s">
        <v>402</v>
      </c>
      <c r="H16" s="508"/>
    </row>
    <row r="17" spans="1:9" x14ac:dyDescent="0.25">
      <c r="E17" s="101" t="s">
        <v>2</v>
      </c>
      <c r="F17" s="186">
        <f>ROUND(F16*24*60*60,2)</f>
        <v>13331.52</v>
      </c>
      <c r="G17" s="607" t="s">
        <v>401</v>
      </c>
      <c r="H17" s="607"/>
    </row>
    <row r="18" spans="1:9" x14ac:dyDescent="0.25">
      <c r="B18" s="431" t="s">
        <v>390</v>
      </c>
      <c r="C18" s="431"/>
      <c r="D18" s="431"/>
      <c r="E18" s="101" t="s">
        <v>2</v>
      </c>
      <c r="F18" s="187">
        <f>F4</f>
        <v>30</v>
      </c>
    </row>
    <row r="19" spans="1:9" x14ac:dyDescent="0.25">
      <c r="A19" s="430" t="s">
        <v>399</v>
      </c>
      <c r="B19" s="430"/>
      <c r="C19" s="430"/>
      <c r="D19" s="430"/>
      <c r="E19" s="101" t="s">
        <v>2</v>
      </c>
      <c r="F19" s="189">
        <f>(G13)/2</f>
        <v>1.5</v>
      </c>
    </row>
    <row r="20" spans="1:9" x14ac:dyDescent="0.25">
      <c r="A20" s="430" t="s">
        <v>432</v>
      </c>
      <c r="B20" s="430"/>
      <c r="C20" s="430"/>
      <c r="D20" s="430"/>
      <c r="E20" s="430"/>
      <c r="F20" s="189">
        <f>(G12+H12)/2</f>
        <v>0.30000000000000004</v>
      </c>
    </row>
    <row r="21" spans="1:9" x14ac:dyDescent="0.25">
      <c r="B21" s="431" t="s">
        <v>393</v>
      </c>
      <c r="C21" s="431"/>
      <c r="D21" s="431"/>
      <c r="E21" s="101" t="s">
        <v>2</v>
      </c>
      <c r="F21" s="191">
        <f>G8/2-5</f>
        <v>120</v>
      </c>
      <c r="G21" s="190"/>
    </row>
    <row r="22" spans="1:9" ht="15" customHeight="1" x14ac:dyDescent="0.25">
      <c r="B22" s="431" t="s">
        <v>403</v>
      </c>
      <c r="C22" s="431"/>
      <c r="D22" s="431"/>
      <c r="E22" s="101" t="s">
        <v>2</v>
      </c>
      <c r="F22" s="192">
        <v>20</v>
      </c>
      <c r="G22" s="104" t="s">
        <v>404</v>
      </c>
    </row>
    <row r="24" spans="1:9" x14ac:dyDescent="0.25">
      <c r="A24" s="102" t="s">
        <v>226</v>
      </c>
      <c r="B24" s="480" t="s">
        <v>405</v>
      </c>
      <c r="C24" s="480"/>
      <c r="D24" s="480"/>
    </row>
    <row r="25" spans="1:9" x14ac:dyDescent="0.25">
      <c r="B25" s="101" t="s">
        <v>406</v>
      </c>
      <c r="E25" s="101" t="s">
        <v>2</v>
      </c>
      <c r="F25" s="193">
        <f>4.629</f>
        <v>4.6289999999999996</v>
      </c>
      <c r="G25" s="110" t="s">
        <v>97</v>
      </c>
    </row>
    <row r="26" spans="1:9" x14ac:dyDescent="0.25">
      <c r="B26" s="431" t="s">
        <v>407</v>
      </c>
      <c r="C26" s="431"/>
      <c r="E26" s="101" t="s">
        <v>2</v>
      </c>
      <c r="F26" s="79">
        <f>1.6</f>
        <v>1.6</v>
      </c>
    </row>
    <row r="27" spans="1:9" ht="15" customHeight="1" x14ac:dyDescent="0.25">
      <c r="B27" s="431" t="s">
        <v>408</v>
      </c>
      <c r="C27" s="431"/>
      <c r="D27" s="431"/>
      <c r="E27" s="428" t="s">
        <v>2</v>
      </c>
      <c r="F27" s="194">
        <f>F25</f>
        <v>4.6289999999999996</v>
      </c>
      <c r="G27" s="109">
        <f>1</f>
        <v>1</v>
      </c>
      <c r="H27" s="518">
        <f>ROUND(F27/((3.14/4)*F26*F26),2)</f>
        <v>2.2999999999999998</v>
      </c>
      <c r="I27" s="518"/>
    </row>
    <row r="28" spans="1:9" s="104" customFormat="1" x14ac:dyDescent="0.25">
      <c r="B28" s="431"/>
      <c r="C28" s="431"/>
      <c r="D28" s="431"/>
      <c r="E28" s="428"/>
      <c r="F28" s="104" t="s">
        <v>409</v>
      </c>
      <c r="G28" s="104" t="str">
        <f>""&amp;F26&amp;" x "&amp;F26</f>
        <v>1.6 x 1.6</v>
      </c>
      <c r="H28" s="518"/>
      <c r="I28" s="518"/>
    </row>
    <row r="29" spans="1:9" x14ac:dyDescent="0.25">
      <c r="E29" s="101" t="s">
        <v>2</v>
      </c>
      <c r="F29" s="111">
        <f>2.37</f>
        <v>2.37</v>
      </c>
      <c r="G29" s="104" t="s">
        <v>410</v>
      </c>
    </row>
    <row r="30" spans="1:9" x14ac:dyDescent="0.25">
      <c r="B30" s="431" t="s">
        <v>411</v>
      </c>
      <c r="C30" s="431"/>
      <c r="D30" s="431"/>
      <c r="E30" s="101" t="s">
        <v>2</v>
      </c>
      <c r="F30" s="111">
        <f>0.23</f>
        <v>0.23</v>
      </c>
    </row>
    <row r="31" spans="1:9" x14ac:dyDescent="0.25">
      <c r="B31" s="431" t="s">
        <v>412</v>
      </c>
      <c r="C31" s="431"/>
      <c r="D31" s="431"/>
      <c r="E31" s="101" t="s">
        <v>2</v>
      </c>
      <c r="F31" s="428" t="str">
        <f>" ( "&amp;F29&amp;" + "&amp;F30&amp;" ) = "</f>
        <v xml:space="preserve"> ( 2.37 + 0.23 ) = </v>
      </c>
      <c r="G31" s="428"/>
      <c r="H31" s="195">
        <f>F29+F30</f>
        <v>2.6</v>
      </c>
      <c r="I31" s="202"/>
    </row>
    <row r="33" spans="1:9" x14ac:dyDescent="0.25">
      <c r="A33" s="102" t="s">
        <v>227</v>
      </c>
      <c r="B33" s="480" t="s">
        <v>413</v>
      </c>
      <c r="C33" s="480"/>
      <c r="D33" s="480"/>
    </row>
    <row r="34" spans="1:9" x14ac:dyDescent="0.25">
      <c r="B34" s="431" t="s">
        <v>414</v>
      </c>
      <c r="C34" s="431"/>
      <c r="E34" s="101" t="s">
        <v>2</v>
      </c>
      <c r="F34" s="196">
        <f>5.47</f>
        <v>5.47</v>
      </c>
    </row>
    <row r="36" spans="1:9" x14ac:dyDescent="0.25">
      <c r="A36" s="102" t="s">
        <v>228</v>
      </c>
      <c r="B36" s="480" t="s">
        <v>415</v>
      </c>
      <c r="C36" s="480"/>
      <c r="D36" s="480"/>
      <c r="E36" s="480"/>
      <c r="F36" s="480"/>
    </row>
    <row r="37" spans="1:9" x14ac:dyDescent="0.25">
      <c r="B37" s="431" t="s">
        <v>416</v>
      </c>
      <c r="C37" s="431"/>
      <c r="D37" s="431"/>
      <c r="E37" s="101" t="s">
        <v>2</v>
      </c>
      <c r="F37" s="111">
        <f>0.65</f>
        <v>0.65</v>
      </c>
    </row>
    <row r="38" spans="1:9" x14ac:dyDescent="0.25">
      <c r="A38" s="430" t="s">
        <v>423</v>
      </c>
      <c r="B38" s="430"/>
      <c r="C38" s="430"/>
      <c r="D38" s="430"/>
      <c r="E38" s="101" t="s">
        <v>2</v>
      </c>
      <c r="F38" s="529">
        <f>4.08</f>
        <v>4.08</v>
      </c>
      <c r="G38" s="529"/>
    </row>
    <row r="39" spans="1:9" ht="17.25" x14ac:dyDescent="0.25">
      <c r="B39" s="431" t="s">
        <v>417</v>
      </c>
      <c r="C39" s="431"/>
      <c r="E39" s="101" t="s">
        <v>2</v>
      </c>
      <c r="F39" s="105" t="s">
        <v>418</v>
      </c>
    </row>
    <row r="40" spans="1:9" ht="15" customHeight="1" x14ac:dyDescent="0.25">
      <c r="B40" s="430" t="s">
        <v>419</v>
      </c>
      <c r="C40" s="430"/>
    </row>
    <row r="41" spans="1:9" x14ac:dyDescent="0.25">
      <c r="B41" s="430"/>
      <c r="C41" s="430"/>
    </row>
    <row r="43" spans="1:9" ht="16.5" x14ac:dyDescent="0.25">
      <c r="B43" s="101" t="s">
        <v>420</v>
      </c>
      <c r="C43" s="608">
        <f>1.8</f>
        <v>1.8</v>
      </c>
      <c r="D43" s="608"/>
      <c r="E43" s="428" t="s">
        <v>421</v>
      </c>
      <c r="F43" s="428"/>
      <c r="G43" s="470" t="s">
        <v>422</v>
      </c>
      <c r="H43" s="470"/>
    </row>
    <row r="45" spans="1:9" ht="16.5" x14ac:dyDescent="0.25">
      <c r="A45" s="102" t="s">
        <v>168</v>
      </c>
      <c r="B45" s="197">
        <f>F34</f>
        <v>5.47</v>
      </c>
      <c r="C45" s="198">
        <f>1000</f>
        <v>1000</v>
      </c>
      <c r="D45" s="612">
        <f>C43</f>
        <v>1.8</v>
      </c>
      <c r="E45" s="612"/>
      <c r="F45" s="409">
        <f>1000</f>
        <v>1000</v>
      </c>
      <c r="G45" s="199" t="s">
        <v>424</v>
      </c>
      <c r="H45" s="108" t="s">
        <v>425</v>
      </c>
      <c r="I45" s="200">
        <f>F38</f>
        <v>4.08</v>
      </c>
    </row>
    <row r="46" spans="1:9" x14ac:dyDescent="0.25">
      <c r="D46" s="353">
        <v>2</v>
      </c>
    </row>
    <row r="47" spans="1:9" ht="17.25" x14ac:dyDescent="0.25">
      <c r="A47" s="102" t="s">
        <v>168</v>
      </c>
      <c r="B47" s="201" t="s">
        <v>426</v>
      </c>
      <c r="C47" s="176">
        <f>ROUND(B45*D46/(D45*I45*0.75),2)</f>
        <v>1.99</v>
      </c>
      <c r="D47" s="110" t="s">
        <v>99</v>
      </c>
    </row>
    <row r="48" spans="1:9" x14ac:dyDescent="0.25">
      <c r="A48" s="102"/>
      <c r="B48" s="201"/>
      <c r="C48" s="176"/>
      <c r="D48" s="110"/>
    </row>
    <row r="49" spans="1:11" x14ac:dyDescent="0.25">
      <c r="A49" s="102"/>
      <c r="B49" s="201"/>
      <c r="C49" s="176"/>
      <c r="D49" s="110"/>
    </row>
    <row r="50" spans="1:11" x14ac:dyDescent="0.25">
      <c r="B50" s="428" t="s">
        <v>427</v>
      </c>
      <c r="C50" s="428"/>
      <c r="D50" s="103">
        <f>8</f>
        <v>8</v>
      </c>
      <c r="E50" s="428" t="s">
        <v>428</v>
      </c>
      <c r="F50" s="428"/>
      <c r="G50" s="342">
        <f>0.5</f>
        <v>0.5</v>
      </c>
      <c r="H50" s="341">
        <f>0.5</f>
        <v>0.5</v>
      </c>
    </row>
    <row r="51" spans="1:11" ht="15" customHeight="1" x14ac:dyDescent="0.25">
      <c r="B51" s="428" t="s">
        <v>429</v>
      </c>
      <c r="C51" s="428"/>
      <c r="D51" s="428"/>
      <c r="E51" s="428"/>
      <c r="F51" s="428" t="str">
        <f>" ( "&amp;G50&amp;" x "&amp;H50&amp;" ) x "&amp;D50&amp;" = "</f>
        <v xml:space="preserve"> ( 0.5 x 0.5 ) x 8 = </v>
      </c>
      <c r="G51" s="428"/>
      <c r="H51" s="176">
        <f>D50*G50*H50</f>
        <v>2</v>
      </c>
      <c r="I51" s="110" t="s">
        <v>99</v>
      </c>
    </row>
    <row r="52" spans="1:11" x14ac:dyDescent="0.25">
      <c r="F52" s="104"/>
    </row>
    <row r="53" spans="1:11" ht="15" customHeight="1" x14ac:dyDescent="0.25">
      <c r="B53" s="102" t="s">
        <v>430</v>
      </c>
      <c r="C53" s="610">
        <f>4</f>
        <v>4</v>
      </c>
      <c r="D53" s="610"/>
      <c r="E53" s="611">
        <f>1.5</f>
        <v>1.5</v>
      </c>
      <c r="F53" s="611"/>
      <c r="G53" s="611"/>
      <c r="H53" s="363" t="s">
        <v>431</v>
      </c>
      <c r="I53" s="350">
        <f>0.2</f>
        <v>0.2</v>
      </c>
      <c r="K53" s="408"/>
    </row>
    <row r="55" spans="1:11" s="104" customFormat="1" ht="15" customHeight="1" x14ac:dyDescent="0.25">
      <c r="A55" s="430" t="s">
        <v>433</v>
      </c>
      <c r="B55" s="430"/>
      <c r="C55" s="430"/>
      <c r="D55" s="430"/>
      <c r="E55" s="430"/>
      <c r="F55" s="203">
        <f>250</f>
        <v>250</v>
      </c>
      <c r="G55" s="104" t="s">
        <v>434</v>
      </c>
    </row>
    <row r="57" spans="1:11" x14ac:dyDescent="0.25">
      <c r="A57" s="102" t="s">
        <v>229</v>
      </c>
      <c r="B57" s="438" t="s">
        <v>129</v>
      </c>
      <c r="C57" s="438"/>
    </row>
    <row r="58" spans="1:11" x14ac:dyDescent="0.25">
      <c r="B58" s="107" t="s">
        <v>21</v>
      </c>
      <c r="C58" s="461" t="s">
        <v>58</v>
      </c>
      <c r="D58" s="461"/>
      <c r="E58" s="461"/>
      <c r="F58" s="461"/>
      <c r="G58" s="461"/>
      <c r="H58" s="461" t="s">
        <v>79</v>
      </c>
      <c r="I58" s="461"/>
      <c r="J58" s="461"/>
    </row>
    <row r="59" spans="1:11" x14ac:dyDescent="0.25">
      <c r="B59" s="106">
        <v>1</v>
      </c>
      <c r="C59" s="440" t="s">
        <v>390</v>
      </c>
      <c r="D59" s="440"/>
      <c r="E59" s="440"/>
      <c r="F59" s="440"/>
      <c r="G59" s="440"/>
      <c r="H59" s="613">
        <f>F18</f>
        <v>30</v>
      </c>
      <c r="I59" s="440"/>
      <c r="J59" s="440"/>
    </row>
    <row r="60" spans="1:11" x14ac:dyDescent="0.25">
      <c r="B60" s="106">
        <v>2</v>
      </c>
      <c r="C60" s="440" t="s">
        <v>435</v>
      </c>
      <c r="D60" s="440"/>
      <c r="E60" s="440"/>
      <c r="F60" s="440"/>
      <c r="G60" s="440"/>
      <c r="H60" s="609">
        <f>F21</f>
        <v>120</v>
      </c>
      <c r="I60" s="440"/>
      <c r="J60" s="440"/>
    </row>
    <row r="61" spans="1:11" ht="15" customHeight="1" x14ac:dyDescent="0.25">
      <c r="B61" s="106">
        <v>3</v>
      </c>
      <c r="C61" s="616" t="s">
        <v>408</v>
      </c>
      <c r="D61" s="617"/>
      <c r="E61" s="618">
        <f>F30</f>
        <v>0.23</v>
      </c>
      <c r="F61" s="618"/>
      <c r="G61" s="619"/>
      <c r="H61" s="496">
        <f>H31</f>
        <v>2.6</v>
      </c>
      <c r="I61" s="440"/>
      <c r="J61" s="440"/>
    </row>
    <row r="62" spans="1:11" x14ac:dyDescent="0.25">
      <c r="B62" s="106">
        <v>4</v>
      </c>
      <c r="C62" s="440" t="s">
        <v>392</v>
      </c>
      <c r="D62" s="440"/>
      <c r="E62" s="440"/>
      <c r="F62" s="440"/>
      <c r="G62" s="440"/>
      <c r="H62" s="615">
        <f>F34</f>
        <v>5.47</v>
      </c>
      <c r="I62" s="440"/>
      <c r="J62" s="440"/>
    </row>
    <row r="63" spans="1:11" ht="15" customHeight="1" x14ac:dyDescent="0.25">
      <c r="B63" s="106">
        <v>5</v>
      </c>
      <c r="C63" s="616" t="s">
        <v>436</v>
      </c>
      <c r="D63" s="617"/>
      <c r="E63" s="617"/>
      <c r="F63" s="204">
        <f>G50</f>
        <v>0.5</v>
      </c>
      <c r="G63" s="205">
        <f>H50</f>
        <v>0.5</v>
      </c>
      <c r="H63" s="440">
        <f>D50</f>
        <v>8</v>
      </c>
      <c r="I63" s="440"/>
      <c r="J63" s="440"/>
    </row>
    <row r="64" spans="1:11" ht="15" customHeight="1" x14ac:dyDescent="0.25">
      <c r="B64" s="106">
        <v>6</v>
      </c>
      <c r="C64" s="616" t="s">
        <v>438</v>
      </c>
      <c r="D64" s="617"/>
      <c r="E64" s="617"/>
      <c r="F64" s="620">
        <f>E53</f>
        <v>1.5</v>
      </c>
      <c r="G64" s="621"/>
      <c r="H64" s="440">
        <f>C53</f>
        <v>4</v>
      </c>
      <c r="I64" s="440"/>
      <c r="J64" s="440"/>
    </row>
    <row r="65" spans="2:10" x14ac:dyDescent="0.25">
      <c r="B65" s="106">
        <v>7</v>
      </c>
      <c r="C65" s="440" t="s">
        <v>437</v>
      </c>
      <c r="D65" s="440"/>
      <c r="E65" s="440"/>
      <c r="F65" s="440"/>
      <c r="G65" s="440"/>
      <c r="H65" s="622">
        <f>F55</f>
        <v>250</v>
      </c>
      <c r="I65" s="440"/>
      <c r="J65" s="440"/>
    </row>
    <row r="66" spans="2:10" x14ac:dyDescent="0.25">
      <c r="C66" s="614"/>
      <c r="D66" s="614"/>
      <c r="E66" s="614"/>
      <c r="F66" s="614"/>
      <c r="G66" s="614"/>
      <c r="H66" s="614"/>
      <c r="I66" s="614"/>
      <c r="J66" s="614"/>
    </row>
  </sheetData>
  <mergeCells count="72">
    <mergeCell ref="C66:G66"/>
    <mergeCell ref="H66:J66"/>
    <mergeCell ref="H61:J61"/>
    <mergeCell ref="C62:G62"/>
    <mergeCell ref="H62:J62"/>
    <mergeCell ref="H63:J63"/>
    <mergeCell ref="C61:D61"/>
    <mergeCell ref="E61:G61"/>
    <mergeCell ref="C63:E63"/>
    <mergeCell ref="C64:E64"/>
    <mergeCell ref="F64:G64"/>
    <mergeCell ref="H64:J64"/>
    <mergeCell ref="C65:G65"/>
    <mergeCell ref="H65:J65"/>
    <mergeCell ref="B57:C57"/>
    <mergeCell ref="C58:G58"/>
    <mergeCell ref="H58:J58"/>
    <mergeCell ref="C59:G59"/>
    <mergeCell ref="H59:J59"/>
    <mergeCell ref="C60:G60"/>
    <mergeCell ref="H60:J60"/>
    <mergeCell ref="I7:J7"/>
    <mergeCell ref="A12:F12"/>
    <mergeCell ref="A10:H10"/>
    <mergeCell ref="A55:E55"/>
    <mergeCell ref="B51:E51"/>
    <mergeCell ref="F51:G51"/>
    <mergeCell ref="C53:D53"/>
    <mergeCell ref="E53:G53"/>
    <mergeCell ref="D45:E45"/>
    <mergeCell ref="A38:D38"/>
    <mergeCell ref="H27:I28"/>
    <mergeCell ref="B50:C50"/>
    <mergeCell ref="E50:F50"/>
    <mergeCell ref="B39:C39"/>
    <mergeCell ref="B40:C41"/>
    <mergeCell ref="C43:D43"/>
    <mergeCell ref="E43:F43"/>
    <mergeCell ref="G43:H43"/>
    <mergeCell ref="B33:D33"/>
    <mergeCell ref="B34:C34"/>
    <mergeCell ref="B36:F36"/>
    <mergeCell ref="B37:D37"/>
    <mergeCell ref="F31:G31"/>
    <mergeCell ref="F38:G38"/>
    <mergeCell ref="E27:E28"/>
    <mergeCell ref="B27:D28"/>
    <mergeCell ref="B30:D30"/>
    <mergeCell ref="B31:D31"/>
    <mergeCell ref="B21:D21"/>
    <mergeCell ref="B22:D22"/>
    <mergeCell ref="B24:D24"/>
    <mergeCell ref="B26:C26"/>
    <mergeCell ref="B16:C16"/>
    <mergeCell ref="G16:H16"/>
    <mergeCell ref="G17:H17"/>
    <mergeCell ref="B18:D18"/>
    <mergeCell ref="A19:D19"/>
    <mergeCell ref="A20:E20"/>
    <mergeCell ref="B2:J2"/>
    <mergeCell ref="G11:H11"/>
    <mergeCell ref="A13:D13"/>
    <mergeCell ref="B15:D15"/>
    <mergeCell ref="B8:D8"/>
    <mergeCell ref="B9:D9"/>
    <mergeCell ref="F7:G7"/>
    <mergeCell ref="G8:H8"/>
    <mergeCell ref="B4:D4"/>
    <mergeCell ref="B5:D5"/>
    <mergeCell ref="G5:H5"/>
    <mergeCell ref="B6:D6"/>
    <mergeCell ref="B7:D7"/>
  </mergeCells>
  <pageMargins left="0.7" right="0.7" top="0.75" bottom="0.75" header="0.3" footer="0.3"/>
  <pageSetup paperSize="9" orientation="portrait" r:id="rId1"/>
  <rowBreaks count="1" manualBreakCount="1">
    <brk id="48" max="16383" man="1"/>
  </rowBreaks>
  <drawing r:id="rId2"/>
  <legacyDrawing r:id="rId3"/>
  <oleObjects>
    <mc:AlternateContent xmlns:mc="http://schemas.openxmlformats.org/markup-compatibility/2006">
      <mc:Choice Requires="x14">
        <oleObject progId="Equation.3" shapeId="17410" r:id="rId4">
          <objectPr defaultSize="0" autoPict="0" r:id="rId5">
            <anchor moveWithCells="1">
              <from>
                <xdr:col>3</xdr:col>
                <xdr:colOff>28575</xdr:colOff>
                <xdr:row>39</xdr:row>
                <xdr:rowOff>0</xdr:rowOff>
              </from>
              <to>
                <xdr:col>7</xdr:col>
                <xdr:colOff>228600</xdr:colOff>
                <xdr:row>41</xdr:row>
                <xdr:rowOff>9525</xdr:rowOff>
              </to>
            </anchor>
          </objectPr>
        </oleObject>
      </mc:Choice>
      <mc:Fallback>
        <oleObject progId="Equation.3" shapeId="17410"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O148"/>
  <sheetViews>
    <sheetView view="pageBreakPreview" zoomScaleNormal="100" zoomScaleSheetLayoutView="100" workbookViewId="0">
      <selection activeCell="B2" sqref="B2:K2"/>
    </sheetView>
  </sheetViews>
  <sheetFormatPr defaultRowHeight="15" x14ac:dyDescent="0.25"/>
  <cols>
    <col min="1" max="1" width="2.5703125" style="149" customWidth="1"/>
    <col min="2" max="2" width="9.140625" style="149"/>
    <col min="3" max="3" width="8.7109375" style="149" bestFit="1" customWidth="1"/>
    <col min="4" max="4" width="11" style="149" bestFit="1" customWidth="1"/>
    <col min="5" max="5" width="9.85546875" style="149" bestFit="1" customWidth="1"/>
    <col min="6" max="6" width="3" style="149" customWidth="1"/>
    <col min="7" max="7" width="9.85546875" style="149" customWidth="1"/>
    <col min="8" max="8" width="9.42578125" style="149" customWidth="1"/>
    <col min="9" max="9" width="11" style="149" customWidth="1"/>
    <col min="10" max="10" width="9.42578125" style="149" customWidth="1"/>
    <col min="11" max="11" width="2.85546875" style="149" customWidth="1"/>
    <col min="12" max="13" width="11.5703125" style="149" bestFit="1" customWidth="1"/>
    <col min="14" max="16384" width="9.140625" style="149"/>
  </cols>
  <sheetData>
    <row r="2" spans="2:11" ht="15" customHeight="1" x14ac:dyDescent="0.25">
      <c r="B2" s="447" t="s">
        <v>439</v>
      </c>
      <c r="C2" s="448"/>
      <c r="D2" s="448"/>
      <c r="E2" s="448"/>
      <c r="F2" s="448"/>
      <c r="G2" s="448"/>
      <c r="H2" s="448"/>
      <c r="I2" s="448"/>
      <c r="J2" s="448"/>
      <c r="K2" s="449"/>
    </row>
    <row r="3" spans="2:11" x14ac:dyDescent="0.25">
      <c r="B3" s="627" t="s">
        <v>440</v>
      </c>
      <c r="C3" s="627"/>
    </row>
    <row r="4" spans="2:11" ht="15" customHeight="1" x14ac:dyDescent="0.25">
      <c r="B4" s="428" t="s">
        <v>441</v>
      </c>
      <c r="C4" s="428"/>
      <c r="D4" s="428"/>
      <c r="E4" s="428"/>
      <c r="F4" s="428"/>
      <c r="G4" s="428"/>
      <c r="H4" s="428"/>
      <c r="I4" s="428"/>
      <c r="J4" s="428"/>
      <c r="K4" s="428"/>
    </row>
    <row r="5" spans="2:11" x14ac:dyDescent="0.25">
      <c r="B5" s="428"/>
      <c r="C5" s="428"/>
      <c r="D5" s="428"/>
      <c r="E5" s="428"/>
      <c r="F5" s="428"/>
      <c r="G5" s="428"/>
      <c r="H5" s="428"/>
      <c r="I5" s="428"/>
      <c r="J5" s="428"/>
      <c r="K5" s="428"/>
    </row>
    <row r="6" spans="2:11" x14ac:dyDescent="0.25">
      <c r="B6" s="428"/>
      <c r="C6" s="428"/>
      <c r="D6" s="428"/>
      <c r="E6" s="428"/>
      <c r="F6" s="428"/>
      <c r="G6" s="428"/>
      <c r="H6" s="428"/>
      <c r="I6" s="428"/>
      <c r="J6" s="428"/>
      <c r="K6" s="428"/>
    </row>
    <row r="7" spans="2:11" ht="15" customHeight="1" x14ac:dyDescent="0.25">
      <c r="B7" s="428" t="s">
        <v>442</v>
      </c>
      <c r="C7" s="428"/>
      <c r="D7" s="428"/>
      <c r="E7" s="428"/>
      <c r="F7" s="428"/>
      <c r="G7" s="428"/>
      <c r="H7" s="428"/>
      <c r="I7" s="428"/>
      <c r="J7" s="428"/>
      <c r="K7" s="428"/>
    </row>
    <row r="8" spans="2:11" x14ac:dyDescent="0.25">
      <c r="B8" s="428"/>
      <c r="C8" s="428"/>
      <c r="D8" s="428"/>
      <c r="E8" s="428"/>
      <c r="F8" s="428"/>
      <c r="G8" s="428"/>
      <c r="H8" s="428"/>
      <c r="I8" s="428"/>
      <c r="J8" s="428"/>
      <c r="K8" s="428"/>
    </row>
    <row r="9" spans="2:11" x14ac:dyDescent="0.25">
      <c r="B9" s="428"/>
      <c r="C9" s="428"/>
      <c r="D9" s="428"/>
      <c r="E9" s="428"/>
      <c r="F9" s="428"/>
      <c r="G9" s="428"/>
      <c r="H9" s="428"/>
      <c r="I9" s="428"/>
      <c r="J9" s="428"/>
      <c r="K9" s="428"/>
    </row>
    <row r="10" spans="2:11" x14ac:dyDescent="0.25">
      <c r="B10" s="428"/>
      <c r="C10" s="428"/>
      <c r="D10" s="428"/>
      <c r="E10" s="428"/>
      <c r="F10" s="428"/>
      <c r="G10" s="428"/>
      <c r="H10" s="428"/>
      <c r="I10" s="428"/>
      <c r="J10" s="428"/>
      <c r="K10" s="428"/>
    </row>
    <row r="11" spans="2:11" x14ac:dyDescent="0.25">
      <c r="B11" s="428"/>
      <c r="C11" s="428"/>
      <c r="D11" s="428"/>
      <c r="E11" s="428"/>
      <c r="F11" s="428"/>
      <c r="G11" s="428"/>
      <c r="H11" s="428"/>
      <c r="I11" s="428"/>
      <c r="J11" s="428"/>
      <c r="K11" s="428"/>
    </row>
    <row r="12" spans="2:11" x14ac:dyDescent="0.25">
      <c r="B12" s="428"/>
      <c r="C12" s="428"/>
      <c r="D12" s="428"/>
      <c r="E12" s="428"/>
      <c r="F12" s="428"/>
      <c r="G12" s="428"/>
      <c r="H12" s="428"/>
      <c r="I12" s="428"/>
      <c r="J12" s="428"/>
      <c r="K12" s="428"/>
    </row>
    <row r="13" spans="2:11" ht="15" customHeight="1" x14ac:dyDescent="0.25">
      <c r="B13" s="428" t="s">
        <v>443</v>
      </c>
      <c r="C13" s="428"/>
      <c r="D13" s="428"/>
      <c r="E13" s="428"/>
      <c r="F13" s="428"/>
      <c r="G13" s="428"/>
      <c r="H13" s="428"/>
      <c r="I13" s="428"/>
      <c r="J13" s="428"/>
      <c r="K13" s="428"/>
    </row>
    <row r="14" spans="2:11" x14ac:dyDescent="0.25">
      <c r="B14" s="428"/>
      <c r="C14" s="428"/>
      <c r="D14" s="428"/>
      <c r="E14" s="428"/>
      <c r="F14" s="428"/>
      <c r="G14" s="428"/>
      <c r="H14" s="428"/>
      <c r="I14" s="428"/>
      <c r="J14" s="428"/>
      <c r="K14" s="428"/>
    </row>
    <row r="15" spans="2:11" x14ac:dyDescent="0.25">
      <c r="B15" s="428"/>
      <c r="C15" s="428"/>
      <c r="D15" s="428"/>
      <c r="E15" s="428"/>
      <c r="F15" s="428"/>
      <c r="G15" s="428"/>
      <c r="H15" s="428"/>
      <c r="I15" s="428"/>
      <c r="J15" s="428"/>
      <c r="K15" s="428"/>
    </row>
    <row r="16" spans="2:11" x14ac:dyDescent="0.25">
      <c r="B16" s="428"/>
      <c r="C16" s="428"/>
      <c r="D16" s="428"/>
      <c r="E16" s="428"/>
      <c r="F16" s="428"/>
      <c r="G16" s="428"/>
      <c r="H16" s="428"/>
      <c r="I16" s="428"/>
      <c r="J16" s="428"/>
      <c r="K16" s="428"/>
    </row>
    <row r="17" spans="2:11" x14ac:dyDescent="0.25">
      <c r="B17" s="428"/>
      <c r="C17" s="428"/>
      <c r="D17" s="428"/>
      <c r="E17" s="428"/>
      <c r="F17" s="428"/>
      <c r="G17" s="428"/>
      <c r="H17" s="428"/>
      <c r="I17" s="428"/>
      <c r="J17" s="428"/>
      <c r="K17" s="428"/>
    </row>
    <row r="19" spans="2:11" ht="15" customHeight="1" x14ac:dyDescent="0.25">
      <c r="B19" s="545" t="s">
        <v>444</v>
      </c>
      <c r="C19" s="545"/>
      <c r="D19" s="545"/>
      <c r="E19" s="545"/>
    </row>
    <row r="20" spans="2:11" x14ac:dyDescent="0.25">
      <c r="B20" s="431" t="s">
        <v>445</v>
      </c>
      <c r="C20" s="431"/>
      <c r="D20" s="152"/>
      <c r="E20" s="152"/>
      <c r="F20" s="149" t="s">
        <v>2</v>
      </c>
      <c r="G20" s="131">
        <v>3</v>
      </c>
      <c r="H20" s="184">
        <v>4.5</v>
      </c>
    </row>
    <row r="21" spans="2:11" x14ac:dyDescent="0.25">
      <c r="B21" s="431" t="s">
        <v>390</v>
      </c>
      <c r="C21" s="431"/>
      <c r="D21" s="152"/>
      <c r="E21" s="152"/>
      <c r="F21" s="149" t="s">
        <v>2</v>
      </c>
      <c r="G21" s="131">
        <v>30</v>
      </c>
      <c r="H21" s="212">
        <v>60</v>
      </c>
    </row>
    <row r="22" spans="2:11" x14ac:dyDescent="0.25">
      <c r="B22" s="431" t="s">
        <v>83</v>
      </c>
      <c r="C22" s="431"/>
      <c r="D22" s="152"/>
      <c r="E22" s="152"/>
      <c r="F22" s="149" t="s">
        <v>2</v>
      </c>
      <c r="G22" s="51">
        <f>0.2</f>
        <v>0.2</v>
      </c>
      <c r="H22" s="492">
        <v>0.8</v>
      </c>
      <c r="I22" s="492"/>
    </row>
    <row r="23" spans="2:11" x14ac:dyDescent="0.25">
      <c r="B23" s="431" t="s">
        <v>446</v>
      </c>
      <c r="C23" s="431"/>
      <c r="D23" s="431"/>
      <c r="E23" s="431"/>
      <c r="F23" s="149" t="s">
        <v>2</v>
      </c>
      <c r="G23" s="131">
        <v>10</v>
      </c>
      <c r="H23" s="508">
        <v>25</v>
      </c>
      <c r="I23" s="508"/>
      <c r="J23" s="508"/>
    </row>
    <row r="24" spans="2:11" x14ac:dyDescent="0.25">
      <c r="B24" s="431" t="s">
        <v>447</v>
      </c>
      <c r="C24" s="431"/>
      <c r="D24" s="431"/>
      <c r="E24" s="431"/>
      <c r="F24" s="149" t="s">
        <v>2</v>
      </c>
      <c r="G24" s="51">
        <f>0.2</f>
        <v>0.2</v>
      </c>
      <c r="H24" s="492">
        <v>0.6</v>
      </c>
      <c r="I24" s="492"/>
    </row>
    <row r="25" spans="2:11" x14ac:dyDescent="0.25">
      <c r="B25" s="431" t="s">
        <v>448</v>
      </c>
      <c r="C25" s="431"/>
      <c r="D25" s="431"/>
      <c r="F25" s="149" t="s">
        <v>2</v>
      </c>
      <c r="G25" s="131">
        <v>10</v>
      </c>
      <c r="H25" s="150">
        <v>75</v>
      </c>
    </row>
    <row r="26" spans="2:11" ht="18" x14ac:dyDescent="0.25">
      <c r="B26" s="431" t="s">
        <v>449</v>
      </c>
      <c r="C26" s="431"/>
      <c r="D26" s="431"/>
      <c r="F26" s="149" t="s">
        <v>2</v>
      </c>
      <c r="G26" s="192">
        <f>10</f>
        <v>10</v>
      </c>
      <c r="H26" s="213" t="s">
        <v>524</v>
      </c>
      <c r="I26" s="213" t="s">
        <v>450</v>
      </c>
    </row>
    <row r="27" spans="2:11" x14ac:dyDescent="0.25">
      <c r="B27" s="431" t="s">
        <v>451</v>
      </c>
      <c r="C27" s="431"/>
      <c r="D27" s="431"/>
      <c r="F27" s="149" t="s">
        <v>2</v>
      </c>
      <c r="G27" s="131">
        <v>10</v>
      </c>
      <c r="H27" s="628">
        <v>36</v>
      </c>
      <c r="I27" s="628"/>
      <c r="J27" s="628"/>
    </row>
    <row r="28" spans="2:11" x14ac:dyDescent="0.25">
      <c r="B28" s="431" t="s">
        <v>452</v>
      </c>
      <c r="C28" s="431"/>
      <c r="D28" s="431"/>
      <c r="F28" s="149" t="s">
        <v>2</v>
      </c>
      <c r="G28" s="214">
        <v>0.15</v>
      </c>
      <c r="H28" s="529">
        <f>0.25</f>
        <v>0.25</v>
      </c>
      <c r="I28" s="529"/>
    </row>
    <row r="30" spans="2:11" x14ac:dyDescent="0.25">
      <c r="B30" s="545" t="s">
        <v>453</v>
      </c>
      <c r="C30" s="545"/>
      <c r="D30" s="545"/>
      <c r="E30" s="545"/>
    </row>
    <row r="31" spans="2:11" x14ac:dyDescent="0.25">
      <c r="B31" s="431" t="s">
        <v>527</v>
      </c>
      <c r="C31" s="431"/>
      <c r="D31" s="431"/>
      <c r="E31" s="431"/>
      <c r="F31" s="149" t="s">
        <v>2</v>
      </c>
      <c r="G31" s="185">
        <f>40</f>
        <v>40</v>
      </c>
      <c r="H31" s="431" t="s">
        <v>454</v>
      </c>
      <c r="I31" s="431"/>
    </row>
    <row r="32" spans="2:11" x14ac:dyDescent="0.25">
      <c r="B32" s="431" t="s">
        <v>455</v>
      </c>
      <c r="C32" s="431"/>
      <c r="D32" s="431"/>
      <c r="F32" s="149" t="s">
        <v>2</v>
      </c>
      <c r="G32" s="131">
        <v>3</v>
      </c>
      <c r="H32" s="184">
        <f>4.5</f>
        <v>4.5</v>
      </c>
    </row>
    <row r="33" spans="2:14" ht="15" customHeight="1" x14ac:dyDescent="0.25">
      <c r="B33" s="431" t="s">
        <v>456</v>
      </c>
      <c r="C33" s="431"/>
      <c r="F33" s="149" t="s">
        <v>2</v>
      </c>
      <c r="G33" s="185">
        <f>300</f>
        <v>300</v>
      </c>
      <c r="H33" s="431" t="s">
        <v>454</v>
      </c>
      <c r="I33" s="431"/>
      <c r="N33" s="149">
        <f>(3+4.5)/2</f>
        <v>3.75</v>
      </c>
    </row>
    <row r="34" spans="2:14" x14ac:dyDescent="0.25">
      <c r="B34" s="431" t="s">
        <v>457</v>
      </c>
      <c r="C34" s="431"/>
      <c r="D34" s="431"/>
      <c r="F34" s="149" t="s">
        <v>2</v>
      </c>
      <c r="G34" s="412">
        <f>25</f>
        <v>25</v>
      </c>
    </row>
    <row r="35" spans="2:14" ht="15" customHeight="1" x14ac:dyDescent="0.25">
      <c r="B35" s="431" t="s">
        <v>458</v>
      </c>
      <c r="C35" s="431"/>
      <c r="F35" s="149" t="s">
        <v>2</v>
      </c>
      <c r="G35" s="411">
        <v>12</v>
      </c>
      <c r="J35" s="215"/>
      <c r="K35" s="215"/>
    </row>
    <row r="36" spans="2:14" x14ac:dyDescent="0.25">
      <c r="F36" s="149" t="s">
        <v>2</v>
      </c>
      <c r="G36" s="410">
        <f>1/G35*100</f>
        <v>8.3333333333333321</v>
      </c>
      <c r="H36" s="431" t="s">
        <v>459</v>
      </c>
      <c r="I36" s="431"/>
      <c r="J36" s="431"/>
    </row>
    <row r="37" spans="2:14" x14ac:dyDescent="0.25">
      <c r="B37" s="431" t="s">
        <v>460</v>
      </c>
      <c r="C37" s="431"/>
      <c r="D37" s="431"/>
      <c r="E37" s="431"/>
      <c r="F37" s="149" t="s">
        <v>2</v>
      </c>
      <c r="G37" s="413">
        <f>1.2</f>
        <v>1.2</v>
      </c>
      <c r="H37" s="431" t="s">
        <v>461</v>
      </c>
      <c r="I37" s="431"/>
    </row>
    <row r="38" spans="2:14" x14ac:dyDescent="0.25">
      <c r="B38" s="431" t="s">
        <v>462</v>
      </c>
      <c r="C38" s="431"/>
      <c r="D38" s="431"/>
      <c r="F38" s="149" t="s">
        <v>2</v>
      </c>
      <c r="G38" s="246">
        <f>1</f>
        <v>1</v>
      </c>
      <c r="H38" s="216">
        <v>45</v>
      </c>
      <c r="I38" s="212">
        <v>80</v>
      </c>
    </row>
    <row r="39" spans="2:14" x14ac:dyDescent="0.25">
      <c r="B39" s="431" t="s">
        <v>463</v>
      </c>
      <c r="C39" s="431"/>
      <c r="D39" s="431"/>
      <c r="E39" s="431"/>
      <c r="F39" s="149" t="s">
        <v>2</v>
      </c>
      <c r="G39" s="321">
        <f>40</f>
        <v>40</v>
      </c>
      <c r="H39" s="321"/>
      <c r="I39" s="321"/>
      <c r="J39" s="321"/>
    </row>
    <row r="40" spans="2:14" x14ac:dyDescent="0.25">
      <c r="N40" s="149">
        <f>(10+75)/2</f>
        <v>42.5</v>
      </c>
    </row>
    <row r="41" spans="2:14" x14ac:dyDescent="0.25">
      <c r="B41" s="545" t="s">
        <v>464</v>
      </c>
      <c r="C41" s="545"/>
    </row>
    <row r="42" spans="2:14" ht="18" x14ac:dyDescent="0.25">
      <c r="B42" s="431" t="s">
        <v>465</v>
      </c>
      <c r="C42" s="431"/>
      <c r="D42" s="431"/>
      <c r="E42" s="431"/>
      <c r="F42" s="149" t="s">
        <v>2</v>
      </c>
      <c r="G42" s="171">
        <f>'Alum Quantity'!I20</f>
        <v>555.4799999999999</v>
      </c>
      <c r="H42" s="152" t="s">
        <v>466</v>
      </c>
    </row>
    <row r="43" spans="2:14" x14ac:dyDescent="0.25">
      <c r="B43" s="431" t="s">
        <v>468</v>
      </c>
      <c r="C43" s="431"/>
      <c r="D43" s="431"/>
      <c r="E43" s="431"/>
      <c r="F43" s="149" t="s">
        <v>2</v>
      </c>
      <c r="G43" s="412">
        <f>2</f>
        <v>2</v>
      </c>
    </row>
    <row r="44" spans="2:14" x14ac:dyDescent="0.25">
      <c r="B44" s="152"/>
      <c r="C44" s="152"/>
      <c r="D44" s="152"/>
      <c r="E44" s="152"/>
      <c r="G44" s="126"/>
    </row>
    <row r="45" spans="2:14" x14ac:dyDescent="0.25">
      <c r="B45" s="152"/>
      <c r="C45" s="152"/>
      <c r="D45" s="152"/>
      <c r="E45" s="152"/>
      <c r="G45" s="126"/>
    </row>
    <row r="46" spans="2:14" x14ac:dyDescent="0.25">
      <c r="B46" s="431" t="s">
        <v>469</v>
      </c>
      <c r="C46" s="431"/>
      <c r="D46" s="431"/>
      <c r="E46" s="431"/>
      <c r="F46" s="149" t="s">
        <v>2</v>
      </c>
      <c r="G46" s="414">
        <f>G42</f>
        <v>555.4799999999999</v>
      </c>
      <c r="H46" s="217">
        <f>G43</f>
        <v>2</v>
      </c>
      <c r="I46" s="352">
        <f>G42</f>
        <v>555.4799999999999</v>
      </c>
      <c r="J46" s="352"/>
      <c r="M46" s="149">
        <f>G42*G43/100</f>
        <v>11.109599999999999</v>
      </c>
    </row>
    <row r="47" spans="2:14" x14ac:dyDescent="0.25">
      <c r="F47" s="149" t="s">
        <v>2</v>
      </c>
      <c r="G47" s="414">
        <f>G46</f>
        <v>555.4799999999999</v>
      </c>
      <c r="H47" s="365">
        <f>ROUND(G43/100*I46,2)</f>
        <v>11.11</v>
      </c>
      <c r="M47" s="60">
        <f>G42+M46</f>
        <v>566.5895999999999</v>
      </c>
    </row>
    <row r="48" spans="2:14" ht="18" x14ac:dyDescent="0.25">
      <c r="F48" s="149" t="s">
        <v>2</v>
      </c>
      <c r="G48" s="171">
        <f>G47+H47</f>
        <v>566.58999999999992</v>
      </c>
      <c r="H48" s="152" t="s">
        <v>466</v>
      </c>
    </row>
    <row r="49" spans="2:12" x14ac:dyDescent="0.25">
      <c r="B49" s="431" t="s">
        <v>470</v>
      </c>
      <c r="C49" s="431"/>
      <c r="D49" s="431"/>
      <c r="F49" s="149" t="s">
        <v>2</v>
      </c>
      <c r="G49" s="415">
        <f>G21</f>
        <v>30</v>
      </c>
    </row>
    <row r="50" spans="2:12" ht="18" x14ac:dyDescent="0.25">
      <c r="B50" s="431" t="s">
        <v>471</v>
      </c>
      <c r="C50" s="431"/>
      <c r="D50" s="431"/>
      <c r="E50" s="431"/>
      <c r="F50" s="149" t="s">
        <v>2</v>
      </c>
      <c r="G50" s="416">
        <f>(G25+H25)/2-12.5</f>
        <v>30</v>
      </c>
      <c r="H50" s="152" t="s">
        <v>493</v>
      </c>
    </row>
    <row r="51" spans="2:12" x14ac:dyDescent="0.25">
      <c r="L51" s="149">
        <f>G48/(60*60)</f>
        <v>0.15738611111111109</v>
      </c>
    </row>
    <row r="52" spans="2:12" x14ac:dyDescent="0.25">
      <c r="B52" s="545" t="s">
        <v>472</v>
      </c>
      <c r="C52" s="545"/>
      <c r="D52" s="545"/>
      <c r="L52" s="149">
        <f>L51*4/3.14</f>
        <v>0.20049186128803959</v>
      </c>
    </row>
    <row r="53" spans="2:12" ht="17.25" x14ac:dyDescent="0.25">
      <c r="D53" s="428" t="s">
        <v>241</v>
      </c>
      <c r="E53" s="428"/>
      <c r="F53" s="149" t="s">
        <v>2</v>
      </c>
      <c r="G53" s="218">
        <f>'Intake Design'!E23</f>
        <v>0.15429999999999999</v>
      </c>
      <c r="H53" s="128" t="s">
        <v>95</v>
      </c>
    </row>
    <row r="54" spans="2:12" ht="15" customHeight="1" x14ac:dyDescent="0.25">
      <c r="C54" s="430" t="s">
        <v>706</v>
      </c>
      <c r="D54" s="430"/>
      <c r="E54" s="430"/>
      <c r="F54" s="380" t="s">
        <v>2</v>
      </c>
      <c r="G54" s="492">
        <f>1</f>
        <v>1</v>
      </c>
      <c r="H54" s="492"/>
      <c r="L54" s="149">
        <f>L52^(0.5)</f>
        <v>0.44776317544885219</v>
      </c>
    </row>
    <row r="55" spans="2:12" s="380" customFormat="1" ht="15" customHeight="1" x14ac:dyDescent="0.25">
      <c r="C55" s="346"/>
      <c r="D55" s="346"/>
      <c r="E55" s="346"/>
      <c r="F55" s="428" t="s">
        <v>168</v>
      </c>
      <c r="G55" s="349"/>
      <c r="H55" s="349"/>
    </row>
    <row r="56" spans="2:12" x14ac:dyDescent="0.25">
      <c r="F56" s="428"/>
    </row>
    <row r="57" spans="2:12" x14ac:dyDescent="0.25">
      <c r="F57" s="428"/>
    </row>
    <row r="58" spans="2:12" ht="16.5" customHeight="1" x14ac:dyDescent="0.25">
      <c r="B58" s="430" t="s">
        <v>473</v>
      </c>
      <c r="C58" s="430"/>
      <c r="D58" s="430"/>
      <c r="E58" s="219">
        <f>G53</f>
        <v>0.15429999999999999</v>
      </c>
      <c r="F58" s="61">
        <v>4</v>
      </c>
      <c r="G58" s="9" t="s">
        <v>474</v>
      </c>
      <c r="H58" s="626">
        <f>(G53*F58/(E59*3.14))^0.5</f>
        <v>0.44335145150787553</v>
      </c>
      <c r="I58" s="626"/>
    </row>
    <row r="59" spans="2:12" x14ac:dyDescent="0.25">
      <c r="B59" s="430"/>
      <c r="C59" s="430"/>
      <c r="D59" s="430"/>
      <c r="E59" s="220">
        <f>G54</f>
        <v>1</v>
      </c>
      <c r="F59" s="149" t="s">
        <v>101</v>
      </c>
      <c r="H59" s="626"/>
      <c r="I59" s="626"/>
    </row>
    <row r="60" spans="2:12" x14ac:dyDescent="0.25">
      <c r="B60" s="428" t="s">
        <v>475</v>
      </c>
      <c r="C60" s="428"/>
      <c r="D60" s="428"/>
      <c r="E60" s="221">
        <f>450</f>
        <v>450</v>
      </c>
      <c r="F60" s="431" t="s">
        <v>434</v>
      </c>
      <c r="G60" s="431"/>
    </row>
    <row r="62" spans="2:12" x14ac:dyDescent="0.25">
      <c r="B62" s="545" t="s">
        <v>476</v>
      </c>
      <c r="C62" s="545"/>
      <c r="D62" s="545"/>
    </row>
    <row r="63" spans="2:12" ht="15" customHeight="1" x14ac:dyDescent="0.25">
      <c r="B63" s="430" t="s">
        <v>477</v>
      </c>
      <c r="C63" s="430"/>
      <c r="D63" s="430"/>
      <c r="E63" s="430"/>
      <c r="F63" s="149" t="s">
        <v>2</v>
      </c>
      <c r="G63" s="167">
        <f>G48</f>
        <v>566.58999999999992</v>
      </c>
      <c r="H63" s="222">
        <f>G49</f>
        <v>30</v>
      </c>
      <c r="I63" s="224">
        <f>ROUND(G63*H63/G64,1)</f>
        <v>283.3</v>
      </c>
      <c r="J63" s="225" t="s">
        <v>97</v>
      </c>
    </row>
    <row r="64" spans="2:12" x14ac:dyDescent="0.25">
      <c r="G64" s="150">
        <f>60</f>
        <v>60</v>
      </c>
      <c r="I64" s="223"/>
      <c r="J64" s="223"/>
    </row>
    <row r="65" spans="2:14" ht="15" customHeight="1" x14ac:dyDescent="0.25">
      <c r="B65" s="430" t="s">
        <v>478</v>
      </c>
      <c r="C65" s="430"/>
      <c r="D65" s="430"/>
      <c r="E65" s="430"/>
      <c r="F65" s="149" t="s">
        <v>2</v>
      </c>
      <c r="G65" s="171">
        <f>(G32+H32)/2-0.25</f>
        <v>3.5</v>
      </c>
    </row>
    <row r="66" spans="2:14" ht="15" customHeight="1" x14ac:dyDescent="0.25">
      <c r="B66" s="430" t="s">
        <v>479</v>
      </c>
      <c r="C66" s="430"/>
      <c r="D66" s="430"/>
      <c r="E66" s="430"/>
      <c r="F66" s="149" t="s">
        <v>2</v>
      </c>
      <c r="G66" s="155">
        <f>I63</f>
        <v>283.3</v>
      </c>
      <c r="H66" s="224">
        <f>ROUND(G66/G67,2)</f>
        <v>80.94</v>
      </c>
      <c r="I66" s="153" t="s">
        <v>99</v>
      </c>
    </row>
    <row r="67" spans="2:14" x14ac:dyDescent="0.25">
      <c r="G67" s="154">
        <f>G65</f>
        <v>3.5</v>
      </c>
      <c r="H67" s="6"/>
    </row>
    <row r="68" spans="2:14" x14ac:dyDescent="0.25">
      <c r="B68" s="431" t="s">
        <v>480</v>
      </c>
      <c r="C68" s="431"/>
      <c r="D68" s="431"/>
      <c r="E68" s="431"/>
      <c r="L68" s="149">
        <f>(H66*4/3.14)^0.5</f>
        <v>10.154224749077454</v>
      </c>
    </row>
    <row r="69" spans="2:14" ht="16.5" x14ac:dyDescent="0.25">
      <c r="F69" s="428" t="s">
        <v>2</v>
      </c>
      <c r="G69" s="226">
        <f>H66</f>
        <v>80.94</v>
      </c>
      <c r="H69" s="9" t="s">
        <v>474</v>
      </c>
      <c r="I69" s="518">
        <f>ROUND((H66*4/3.14)^0.5,2)</f>
        <v>10.15</v>
      </c>
      <c r="J69" s="635">
        <f>10.2</f>
        <v>10.199999999999999</v>
      </c>
      <c r="K69" s="635"/>
    </row>
    <row r="70" spans="2:14" x14ac:dyDescent="0.25">
      <c r="F70" s="428"/>
      <c r="G70" s="149" t="s">
        <v>101</v>
      </c>
      <c r="I70" s="518"/>
      <c r="J70" s="635"/>
      <c r="K70" s="635"/>
    </row>
    <row r="72" spans="2:14" x14ac:dyDescent="0.25">
      <c r="B72" s="428" t="s">
        <v>481</v>
      </c>
      <c r="C72" s="428"/>
      <c r="D72" s="428"/>
      <c r="E72" s="428"/>
      <c r="F72" s="149" t="s">
        <v>2</v>
      </c>
      <c r="G72" s="39">
        <f>E60/1000</f>
        <v>0.45</v>
      </c>
    </row>
    <row r="73" spans="2:14" x14ac:dyDescent="0.25">
      <c r="B73" s="430" t="s">
        <v>482</v>
      </c>
      <c r="C73" s="430"/>
      <c r="D73" s="430"/>
      <c r="E73" s="175">
        <f>J69</f>
        <v>10.199999999999999</v>
      </c>
    </row>
    <row r="75" spans="2:14" x14ac:dyDescent="0.25">
      <c r="B75" s="431" t="s">
        <v>483</v>
      </c>
      <c r="C75" s="431"/>
      <c r="D75" s="431"/>
    </row>
    <row r="76" spans="2:14" x14ac:dyDescent="0.25">
      <c r="E76" s="149" t="s">
        <v>250</v>
      </c>
    </row>
    <row r="77" spans="2:14" x14ac:dyDescent="0.25">
      <c r="E77" s="207" t="s">
        <v>484</v>
      </c>
      <c r="F77" s="149" t="s">
        <v>2</v>
      </c>
      <c r="G77" s="428" t="s">
        <v>485</v>
      </c>
      <c r="H77" s="428"/>
      <c r="I77" s="428"/>
      <c r="J77" s="209" t="s">
        <v>486</v>
      </c>
    </row>
    <row r="78" spans="2:14" ht="15" customHeight="1" x14ac:dyDescent="0.25">
      <c r="E78" s="207" t="s">
        <v>487</v>
      </c>
      <c r="F78" s="206" t="s">
        <v>2</v>
      </c>
      <c r="G78" s="428" t="s">
        <v>488</v>
      </c>
      <c r="H78" s="428"/>
      <c r="I78" s="428"/>
      <c r="J78" s="428"/>
      <c r="K78" s="428"/>
    </row>
    <row r="79" spans="2:14" x14ac:dyDescent="0.25">
      <c r="G79" s="428"/>
      <c r="H79" s="428"/>
      <c r="I79" s="428"/>
      <c r="J79" s="428"/>
      <c r="K79" s="428"/>
      <c r="N79" s="6"/>
    </row>
    <row r="80" spans="2:14" x14ac:dyDescent="0.25">
      <c r="E80" s="207" t="s">
        <v>491</v>
      </c>
      <c r="F80" s="206" t="s">
        <v>2</v>
      </c>
      <c r="G80" s="431" t="s">
        <v>492</v>
      </c>
      <c r="H80" s="431"/>
      <c r="I80" s="431"/>
      <c r="J80" s="431"/>
    </row>
    <row r="81" spans="2:11" ht="15" customHeight="1" x14ac:dyDescent="0.25">
      <c r="E81" s="207" t="s">
        <v>489</v>
      </c>
      <c r="F81" s="206" t="s">
        <v>2</v>
      </c>
      <c r="G81" s="431" t="s">
        <v>490</v>
      </c>
      <c r="H81" s="431"/>
      <c r="I81" s="431"/>
      <c r="J81" s="431"/>
      <c r="K81" s="431"/>
    </row>
    <row r="82" spans="2:11" x14ac:dyDescent="0.25">
      <c r="F82" s="206" t="s">
        <v>2</v>
      </c>
      <c r="G82" s="149" t="s">
        <v>494</v>
      </c>
      <c r="H82" s="431" t="str">
        <f>" ( "&amp;E73&amp;" x "&amp;E73&amp;" ) x "&amp;(G20+H20)/2-0.25&amp;" = "</f>
        <v xml:space="preserve"> ( 10.2 x 10.2 ) x 3.5 = </v>
      </c>
      <c r="I82" s="431"/>
      <c r="J82" s="39">
        <f>ROUND((3.14/4)*E73*E73*((G20+H20)/2-0.25),2)</f>
        <v>285.85000000000002</v>
      </c>
      <c r="K82" s="210" t="s">
        <v>97</v>
      </c>
    </row>
    <row r="84" spans="2:11" x14ac:dyDescent="0.25">
      <c r="B84" s="207" t="s">
        <v>2</v>
      </c>
      <c r="C84" s="207" t="str">
        <f>""&amp;G50&amp;" x "&amp;G50&amp;" x "</f>
        <v xml:space="preserve">30 x 30 x </v>
      </c>
      <c r="D84" s="61">
        <f>0.89</f>
        <v>0.89</v>
      </c>
      <c r="E84" s="231">
        <f>J82</f>
        <v>285.85000000000002</v>
      </c>
      <c r="F84" s="149" t="s">
        <v>2</v>
      </c>
      <c r="G84" s="149">
        <f>ROUND(G50*G50*D84*J82/D85,2)</f>
        <v>228.97</v>
      </c>
    </row>
    <row r="85" spans="2:11" x14ac:dyDescent="0.25">
      <c r="D85" s="208">
        <v>1000</v>
      </c>
    </row>
    <row r="86" spans="2:11" ht="15" customHeight="1" x14ac:dyDescent="0.25">
      <c r="B86" s="428" t="s">
        <v>495</v>
      </c>
      <c r="C86" s="428"/>
      <c r="G86" s="56"/>
      <c r="H86" s="625"/>
    </row>
    <row r="87" spans="2:11" x14ac:dyDescent="0.25">
      <c r="B87" s="428"/>
      <c r="C87" s="428"/>
      <c r="G87" s="6"/>
      <c r="H87" s="625"/>
    </row>
    <row r="89" spans="2:11" ht="16.5" x14ac:dyDescent="0.25">
      <c r="C89" s="207" t="s">
        <v>496</v>
      </c>
      <c r="D89" s="208">
        <v>1.8</v>
      </c>
    </row>
    <row r="90" spans="2:11" ht="17.25" x14ac:dyDescent="0.25">
      <c r="C90" s="207" t="s">
        <v>497</v>
      </c>
      <c r="D90" s="232">
        <f>995</f>
        <v>995</v>
      </c>
      <c r="E90" s="211" t="s">
        <v>498</v>
      </c>
    </row>
    <row r="91" spans="2:11" x14ac:dyDescent="0.25">
      <c r="C91" s="207" t="s">
        <v>499</v>
      </c>
      <c r="D91" s="428" t="s">
        <v>500</v>
      </c>
      <c r="E91" s="428"/>
      <c r="F91" s="428"/>
      <c r="G91" s="533">
        <f>(G22+H22)/2-0.1</f>
        <v>0.4</v>
      </c>
      <c r="H91" s="533"/>
    </row>
    <row r="92" spans="2:11" ht="15" customHeight="1" x14ac:dyDescent="0.25">
      <c r="C92" s="207" t="s">
        <v>501</v>
      </c>
      <c r="D92" s="430" t="s">
        <v>502</v>
      </c>
      <c r="E92" s="430"/>
      <c r="F92" s="430"/>
      <c r="G92" s="430"/>
      <c r="H92" s="233">
        <f>G91</f>
        <v>0.4</v>
      </c>
      <c r="I92" s="234">
        <f>0.25*G91</f>
        <v>0.1</v>
      </c>
      <c r="J92" s="234"/>
    </row>
    <row r="95" spans="2:11" ht="15" customHeight="1" x14ac:dyDescent="0.25">
      <c r="B95" s="207" t="s">
        <v>168</v>
      </c>
      <c r="C95" s="207">
        <f>G84</f>
        <v>228.97</v>
      </c>
      <c r="D95" s="623" t="str">
        <f>" = ( 1 / 2 ) x "&amp;D89&amp;" x "&amp;D90&amp;" x ( "&amp;G91&amp;" - "&amp;I92&amp;" )"</f>
        <v xml:space="preserve"> = ( 1 / 2 ) x 1.8 x 995 x ( 0.4 - 0.1 )</v>
      </c>
      <c r="E95" s="623"/>
      <c r="F95" s="623"/>
      <c r="G95" s="623"/>
      <c r="H95" s="209" t="s">
        <v>503</v>
      </c>
    </row>
    <row r="96" spans="2:11" ht="16.5" x14ac:dyDescent="0.25">
      <c r="D96" s="207"/>
      <c r="E96" s="207" t="s">
        <v>705</v>
      </c>
      <c r="F96" s="149" t="s">
        <v>2</v>
      </c>
      <c r="G96" s="235">
        <f>ROUND(C95/(0.5*D89*D90*((G91-I92)^3)),2)</f>
        <v>9.4700000000000006</v>
      </c>
      <c r="H96" s="210" t="s">
        <v>99</v>
      </c>
    </row>
    <row r="98" spans="2:11" x14ac:dyDescent="0.25">
      <c r="B98" s="428" t="s">
        <v>504</v>
      </c>
      <c r="C98" s="428"/>
      <c r="D98" s="428"/>
      <c r="E98" s="428"/>
      <c r="F98" s="428"/>
    </row>
    <row r="99" spans="2:11" ht="16.5" customHeight="1" x14ac:dyDescent="0.25">
      <c r="C99" s="238">
        <f>G96</f>
        <v>9.4700000000000006</v>
      </c>
      <c r="D99" s="207" t="s">
        <v>505</v>
      </c>
      <c r="E99" s="607" t="str">
        <f>""&amp;E73&amp;" - 0.75 ) x "&amp;(G20+H20)/2-0.25&amp;" x 100 = "</f>
        <v xml:space="preserve">10.2 - 0.75 ) x 3.5 x 100 = </v>
      </c>
      <c r="F99" s="607"/>
      <c r="G99" s="607"/>
      <c r="H99" s="239">
        <f>9.11</f>
        <v>9.11</v>
      </c>
      <c r="I99" s="240">
        <f>G23</f>
        <v>10</v>
      </c>
      <c r="J99" s="241">
        <f>H23</f>
        <v>25</v>
      </c>
    </row>
    <row r="100" spans="2:11" x14ac:dyDescent="0.25">
      <c r="E100" s="428" t="s">
        <v>506</v>
      </c>
      <c r="F100" s="428"/>
      <c r="G100" s="242">
        <f>G96*1.11</f>
        <v>10.511700000000001</v>
      </c>
      <c r="H100" s="210" t="s">
        <v>99</v>
      </c>
    </row>
    <row r="101" spans="2:11" ht="16.5" customHeight="1" x14ac:dyDescent="0.25">
      <c r="D101" s="207" t="s">
        <v>507</v>
      </c>
      <c r="E101" s="243">
        <f>G100</f>
        <v>10.511700000000001</v>
      </c>
      <c r="F101" s="208" t="s">
        <v>508</v>
      </c>
      <c r="G101" s="428" t="str">
        <f>" x ( "&amp;E73&amp;" - 0.75 ) x "&amp;(G20+H20)/2-0.25&amp;" x 100 = "</f>
        <v xml:space="preserve"> x ( 10.2 - 0.75 ) x 3.5 x 100 = </v>
      </c>
      <c r="H101" s="428"/>
      <c r="I101" s="428"/>
      <c r="J101" s="244">
        <f>ROUND(G100/((3.14*(E73-0.75)*((G20+H20)/2-0.25)))*100,2)</f>
        <v>10.119999999999999</v>
      </c>
    </row>
    <row r="102" spans="2:11" ht="15" customHeight="1" x14ac:dyDescent="0.25">
      <c r="D102" s="207" t="s">
        <v>509</v>
      </c>
      <c r="E102" s="431" t="str">
        <f>IF(J99&gt;=J101&gt;=I99," Acceptable, hence O.K. ) "," Non-Acceptable, hence not O.K. ) ")</f>
        <v xml:space="preserve"> Acceptable, hence O.K. ) </v>
      </c>
      <c r="F102" s="431"/>
      <c r="G102" s="431"/>
      <c r="H102" s="431"/>
    </row>
    <row r="103" spans="2:11" x14ac:dyDescent="0.25">
      <c r="B103" s="207" t="s">
        <v>510</v>
      </c>
      <c r="C103" s="245">
        <f>5</f>
        <v>5</v>
      </c>
      <c r="D103" s="149" t="s">
        <v>511</v>
      </c>
      <c r="E103" s="631">
        <f>(G20+H20)/2-0.25</f>
        <v>3.5</v>
      </c>
      <c r="F103" s="631"/>
      <c r="G103" s="508">
        <f>0.7</f>
        <v>0.7</v>
      </c>
      <c r="H103" s="508"/>
    </row>
    <row r="104" spans="2:11" x14ac:dyDescent="0.25">
      <c r="B104" s="246">
        <v>1</v>
      </c>
      <c r="C104" s="149" t="s">
        <v>512</v>
      </c>
      <c r="D104" s="428" t="s">
        <v>513</v>
      </c>
      <c r="E104" s="428"/>
      <c r="F104" s="208">
        <v>5</v>
      </c>
      <c r="G104" s="209" t="s">
        <v>514</v>
      </c>
    </row>
    <row r="105" spans="2:11" x14ac:dyDescent="0.25">
      <c r="B105" s="430" t="s">
        <v>515</v>
      </c>
      <c r="C105" s="430"/>
      <c r="D105" s="430"/>
      <c r="E105" s="430"/>
      <c r="F105" s="208">
        <f>4</f>
        <v>4</v>
      </c>
    </row>
    <row r="106" spans="2:11" ht="15" customHeight="1" x14ac:dyDescent="0.25">
      <c r="C106" s="430" t="s">
        <v>704</v>
      </c>
      <c r="D106" s="430"/>
      <c r="E106" s="428" t="str">
        <f>" = 2 x 3.14 x r x ( "&amp;F105&amp;" / "&amp;D107&amp;" ) = "&amp;G91&amp;""</f>
        <v xml:space="preserve"> = 2 x 3.14 x r x ( 4 / 60 ) = 0.4</v>
      </c>
      <c r="F106" s="428"/>
      <c r="G106" s="428"/>
      <c r="H106" s="428"/>
    </row>
    <row r="107" spans="2:11" x14ac:dyDescent="0.25">
      <c r="D107" s="346">
        <f>60</f>
        <v>60</v>
      </c>
      <c r="E107" s="6"/>
    </row>
    <row r="108" spans="2:11" x14ac:dyDescent="0.25">
      <c r="E108" s="430" t="s">
        <v>516</v>
      </c>
      <c r="F108" s="430"/>
      <c r="G108" s="235">
        <f>ROUND(G91*D107/(2*3.14*F105),3)</f>
        <v>0.95499999999999996</v>
      </c>
      <c r="H108" s="247">
        <f>1</f>
        <v>1</v>
      </c>
    </row>
    <row r="109" spans="2:11" x14ac:dyDescent="0.25">
      <c r="B109" s="207" t="s">
        <v>517</v>
      </c>
      <c r="C109" s="431" t="s">
        <v>518</v>
      </c>
      <c r="D109" s="431"/>
      <c r="E109" s="431"/>
      <c r="F109" s="431"/>
      <c r="G109" s="431"/>
      <c r="H109" s="431"/>
    </row>
    <row r="110" spans="2:11" x14ac:dyDescent="0.25">
      <c r="B110" s="428" t="s">
        <v>519</v>
      </c>
      <c r="C110" s="428"/>
      <c r="D110" s="428"/>
      <c r="E110" s="428"/>
      <c r="F110" s="428"/>
      <c r="G110" s="428"/>
      <c r="H110" s="428"/>
      <c r="I110" s="428"/>
      <c r="J110" s="492">
        <f>0.3</f>
        <v>0.3</v>
      </c>
      <c r="K110" s="492"/>
    </row>
    <row r="111" spans="2:11" x14ac:dyDescent="0.25">
      <c r="C111" s="149" t="s">
        <v>520</v>
      </c>
      <c r="D111" s="236">
        <f>G42</f>
        <v>555.4799999999999</v>
      </c>
      <c r="E111" s="624">
        <f>J110</f>
        <v>0.3</v>
      </c>
      <c r="F111" s="624"/>
      <c r="G111" s="248">
        <f>ROUND(G42/(J110*60*60),3)</f>
        <v>0.51400000000000001</v>
      </c>
      <c r="H111" s="210" t="s">
        <v>99</v>
      </c>
    </row>
    <row r="112" spans="2:11" x14ac:dyDescent="0.25">
      <c r="C112" s="430" t="s">
        <v>521</v>
      </c>
      <c r="D112" s="430"/>
      <c r="E112" s="430"/>
      <c r="F112" s="430"/>
      <c r="G112" s="237">
        <f>G111</f>
        <v>0.51400000000000001</v>
      </c>
      <c r="H112" s="149" t="s">
        <v>522</v>
      </c>
      <c r="I112" s="249">
        <f>E73</f>
        <v>10.199999999999999</v>
      </c>
    </row>
    <row r="113" spans="2:15" x14ac:dyDescent="0.25">
      <c r="F113" s="149" t="s">
        <v>2</v>
      </c>
      <c r="G113" s="235">
        <f>ROUND(G111/(3.14*I112),3)</f>
        <v>1.6E-2</v>
      </c>
    </row>
    <row r="114" spans="2:15" x14ac:dyDescent="0.25">
      <c r="B114" s="554">
        <f>25</f>
        <v>25</v>
      </c>
      <c r="C114" s="554"/>
      <c r="D114" s="554"/>
      <c r="E114" s="554"/>
      <c r="F114" s="554"/>
      <c r="G114" s="250">
        <f>B114/100</f>
        <v>0.25</v>
      </c>
      <c r="H114" s="251">
        <f>(G20+H20)/2-0.25</f>
        <v>3.5</v>
      </c>
      <c r="I114" s="252">
        <f>G114*H114</f>
        <v>0.875</v>
      </c>
      <c r="L114" s="149">
        <f>0.25*3.5</f>
        <v>0.875</v>
      </c>
    </row>
    <row r="115" spans="2:15" x14ac:dyDescent="0.25">
      <c r="C115" s="430" t="s">
        <v>523</v>
      </c>
      <c r="D115" s="430"/>
      <c r="E115" s="430"/>
      <c r="F115" s="430"/>
      <c r="G115" s="253">
        <f>G36</f>
        <v>8.3333333333333321</v>
      </c>
      <c r="L115" s="149">
        <f>0.3+3.5+0.016+0.875</f>
        <v>4.6909999999999998</v>
      </c>
    </row>
    <row r="117" spans="2:15" x14ac:dyDescent="0.25">
      <c r="B117" s="430" t="s">
        <v>525</v>
      </c>
      <c r="C117" s="430"/>
      <c r="D117" s="430"/>
      <c r="E117" s="430"/>
      <c r="F117" s="430"/>
      <c r="G117" s="255">
        <f>G115/100*E103</f>
        <v>0.29166666666666663</v>
      </c>
      <c r="H117" s="256">
        <v>0.3</v>
      </c>
      <c r="I117" s="629" t="str">
        <f>""&amp;E103&amp;" + "&amp;G113&amp;" + "&amp;I114&amp;" ) "</f>
        <v xml:space="preserve">3.5 + 0.016 + 0.875 ) </v>
      </c>
      <c r="J117" s="629"/>
      <c r="O117" s="149">
        <f>0.08*3.5</f>
        <v>0.28000000000000003</v>
      </c>
    </row>
    <row r="118" spans="2:15" x14ac:dyDescent="0.25">
      <c r="F118" s="149" t="s">
        <v>2</v>
      </c>
      <c r="G118" s="120">
        <f>H117+E103+G113+I114</f>
        <v>4.6909999999999998</v>
      </c>
      <c r="H118" s="630">
        <f>4.7</f>
        <v>4.7</v>
      </c>
      <c r="I118" s="630"/>
    </row>
    <row r="120" spans="2:15" x14ac:dyDescent="0.25">
      <c r="B120" s="545" t="s">
        <v>526</v>
      </c>
      <c r="C120" s="545"/>
      <c r="D120" s="545"/>
    </row>
    <row r="121" spans="2:15" x14ac:dyDescent="0.25">
      <c r="B121" s="431" t="s">
        <v>527</v>
      </c>
      <c r="C121" s="431"/>
      <c r="D121" s="431"/>
      <c r="E121" s="431"/>
      <c r="F121" s="206" t="s">
        <v>2</v>
      </c>
      <c r="G121" s="257">
        <f>G31</f>
        <v>40</v>
      </c>
      <c r="H121" s="431" t="s">
        <v>454</v>
      </c>
      <c r="I121" s="431"/>
    </row>
    <row r="122" spans="2:15" x14ac:dyDescent="0.25">
      <c r="B122" s="431" t="s">
        <v>528</v>
      </c>
      <c r="C122" s="431"/>
      <c r="D122" s="431"/>
      <c r="E122" s="431"/>
      <c r="F122" s="206" t="s">
        <v>2</v>
      </c>
      <c r="G122" s="197">
        <f>G42</f>
        <v>555.4799999999999</v>
      </c>
      <c r="H122" s="43">
        <f>24</f>
        <v>24</v>
      </c>
      <c r="I122" s="229">
        <f>G122*H122/H123</f>
        <v>333.2879999999999</v>
      </c>
      <c r="J122" s="228" t="s">
        <v>99</v>
      </c>
    </row>
    <row r="123" spans="2:15" x14ac:dyDescent="0.25">
      <c r="H123" s="230">
        <f>G121</f>
        <v>40</v>
      </c>
      <c r="I123" s="6"/>
    </row>
    <row r="124" spans="2:15" ht="17.25" x14ac:dyDescent="0.25">
      <c r="B124" s="227" t="s">
        <v>529</v>
      </c>
      <c r="C124" s="428" t="s">
        <v>530</v>
      </c>
      <c r="D124" s="428"/>
      <c r="E124" s="428"/>
    </row>
    <row r="125" spans="2:15" x14ac:dyDescent="0.25">
      <c r="B125" s="478" t="s">
        <v>531</v>
      </c>
      <c r="C125" s="478"/>
      <c r="D125" s="119">
        <f>E73</f>
        <v>10.199999999999999</v>
      </c>
      <c r="E125" s="249">
        <f>E73</f>
        <v>10.199999999999999</v>
      </c>
      <c r="F125" s="149" t="s">
        <v>2</v>
      </c>
      <c r="G125" s="200">
        <f>I122</f>
        <v>333.2879999999999</v>
      </c>
    </row>
    <row r="126" spans="2:15" x14ac:dyDescent="0.25">
      <c r="B126" s="261">
        <v>4</v>
      </c>
    </row>
    <row r="127" spans="2:15" ht="17.25" customHeight="1" x14ac:dyDescent="0.25">
      <c r="E127" s="428" t="s">
        <v>584</v>
      </c>
      <c r="F127" s="428" t="s">
        <v>2</v>
      </c>
      <c r="G127" s="267">
        <f>G125*B126</f>
        <v>1333.1519999999996</v>
      </c>
      <c r="H127" s="285">
        <f>D125*E125</f>
        <v>104.03999999999999</v>
      </c>
      <c r="I127" s="9" t="s">
        <v>474</v>
      </c>
      <c r="M127" s="149">
        <f>333.29*4</f>
        <v>1333.16</v>
      </c>
      <c r="N127" s="149">
        <f>10.2*10.2</f>
        <v>104.03999999999999</v>
      </c>
    </row>
    <row r="128" spans="2:15" x14ac:dyDescent="0.25">
      <c r="E128" s="428"/>
      <c r="F128" s="428"/>
      <c r="G128" s="149" t="s">
        <v>101</v>
      </c>
    </row>
    <row r="129" spans="2:15" x14ac:dyDescent="0.25">
      <c r="F129" s="149" t="s">
        <v>2</v>
      </c>
      <c r="G129" s="252">
        <f>ROUND((G127/3.14+H127)^(0.5),3)</f>
        <v>22.992000000000001</v>
      </c>
      <c r="H129" s="633">
        <f>23</f>
        <v>23</v>
      </c>
      <c r="I129" s="633"/>
      <c r="M129" s="149">
        <f>(M127+N127)^0.5</f>
        <v>37.91042073098108</v>
      </c>
      <c r="O129" s="149">
        <f>22.99*22.99</f>
        <v>528.54009999999994</v>
      </c>
    </row>
    <row r="130" spans="2:15" ht="16.5" x14ac:dyDescent="0.25">
      <c r="C130" s="428" t="s">
        <v>532</v>
      </c>
      <c r="D130" s="428"/>
      <c r="E130" s="428"/>
      <c r="F130" s="260" t="s">
        <v>2</v>
      </c>
      <c r="G130" s="149" t="s">
        <v>533</v>
      </c>
      <c r="H130" s="634">
        <f>H129</f>
        <v>23</v>
      </c>
      <c r="I130" s="634"/>
      <c r="J130" s="270">
        <f>H129*3.14</f>
        <v>72.22</v>
      </c>
    </row>
    <row r="131" spans="2:15" ht="15" customHeight="1" x14ac:dyDescent="0.25">
      <c r="C131" s="428" t="s">
        <v>456</v>
      </c>
      <c r="D131" s="428"/>
      <c r="E131" s="428"/>
      <c r="F131" s="260" t="s">
        <v>2</v>
      </c>
      <c r="G131" s="119">
        <f>G122</f>
        <v>555.4799999999999</v>
      </c>
      <c r="H131" s="265">
        <f>H122</f>
        <v>24</v>
      </c>
      <c r="I131" s="599">
        <f>ROUND(G131*H131/H132,2)</f>
        <v>184.6</v>
      </c>
      <c r="J131" s="431" t="s">
        <v>534</v>
      </c>
      <c r="K131" s="431"/>
      <c r="M131" s="149">
        <f>M127/O131</f>
        <v>3.1405410740774857</v>
      </c>
      <c r="O131" s="149">
        <f>O129-N127</f>
        <v>424.50009999999997</v>
      </c>
    </row>
    <row r="132" spans="2:15" x14ac:dyDescent="0.25">
      <c r="H132" s="200">
        <f>J130</f>
        <v>72.22</v>
      </c>
      <c r="I132" s="599"/>
      <c r="J132" s="431"/>
      <c r="K132" s="431"/>
    </row>
    <row r="133" spans="2:15" x14ac:dyDescent="0.25">
      <c r="B133" s="428" t="s">
        <v>535</v>
      </c>
      <c r="C133" s="428"/>
      <c r="D133" s="428"/>
      <c r="E133" s="428"/>
      <c r="F133" s="428"/>
      <c r="G133" s="428"/>
      <c r="H133" s="428"/>
      <c r="I133" s="428"/>
      <c r="J133" s="268">
        <f>1500</f>
        <v>1500</v>
      </c>
    </row>
    <row r="135" spans="2:15" s="260" customFormat="1" x14ac:dyDescent="0.25"/>
    <row r="136" spans="2:15" x14ac:dyDescent="0.25">
      <c r="B136" s="438" t="s">
        <v>129</v>
      </c>
      <c r="C136" s="438"/>
      <c r="D136" s="260"/>
      <c r="E136" s="260"/>
      <c r="F136" s="260"/>
      <c r="G136" s="260"/>
      <c r="H136" s="260"/>
      <c r="I136" s="260"/>
      <c r="J136" s="260"/>
      <c r="L136" s="262"/>
    </row>
    <row r="137" spans="2:15" x14ac:dyDescent="0.25">
      <c r="B137" s="266" t="s">
        <v>21</v>
      </c>
      <c r="C137" s="461" t="s">
        <v>58</v>
      </c>
      <c r="D137" s="461"/>
      <c r="E137" s="461"/>
      <c r="F137" s="461"/>
      <c r="G137" s="461"/>
      <c r="H137" s="461" t="s">
        <v>79</v>
      </c>
      <c r="I137" s="461"/>
      <c r="J137" s="461"/>
    </row>
    <row r="138" spans="2:15" x14ac:dyDescent="0.25">
      <c r="B138" s="264">
        <v>1</v>
      </c>
      <c r="C138" s="440" t="s">
        <v>470</v>
      </c>
      <c r="D138" s="440"/>
      <c r="E138" s="440"/>
      <c r="F138" s="440"/>
      <c r="G138" s="440"/>
      <c r="H138" s="632">
        <f>G49</f>
        <v>30</v>
      </c>
      <c r="I138" s="440"/>
      <c r="J138" s="440"/>
      <c r="N138" s="6"/>
    </row>
    <row r="139" spans="2:15" x14ac:dyDescent="0.25">
      <c r="B139" s="264">
        <v>2</v>
      </c>
      <c r="C139" s="440" t="s">
        <v>536</v>
      </c>
      <c r="D139" s="440"/>
      <c r="E139" s="440"/>
      <c r="F139" s="440"/>
      <c r="G139" s="440"/>
      <c r="H139" s="496">
        <f>G72</f>
        <v>0.45</v>
      </c>
      <c r="I139" s="440"/>
      <c r="J139" s="440"/>
    </row>
    <row r="140" spans="2:15" x14ac:dyDescent="0.25">
      <c r="B140" s="264">
        <v>3</v>
      </c>
      <c r="C140" s="440" t="s">
        <v>537</v>
      </c>
      <c r="D140" s="440"/>
      <c r="E140" s="440"/>
      <c r="F140" s="440"/>
      <c r="G140" s="440"/>
      <c r="H140" s="501">
        <f>E103</f>
        <v>3.5</v>
      </c>
      <c r="I140" s="501"/>
      <c r="J140" s="501"/>
    </row>
    <row r="141" spans="2:15" x14ac:dyDescent="0.25">
      <c r="B141" s="264">
        <v>4</v>
      </c>
      <c r="C141" s="440" t="s">
        <v>538</v>
      </c>
      <c r="D141" s="440"/>
      <c r="E141" s="440"/>
      <c r="F141" s="440"/>
      <c r="G141" s="440"/>
      <c r="H141" s="496">
        <f>E73</f>
        <v>10.199999999999999</v>
      </c>
      <c r="I141" s="440"/>
      <c r="J141" s="440"/>
    </row>
    <row r="142" spans="2:15" ht="15" customHeight="1" x14ac:dyDescent="0.25">
      <c r="B142" s="264">
        <v>5</v>
      </c>
      <c r="C142" s="616" t="s">
        <v>539</v>
      </c>
      <c r="D142" s="617"/>
      <c r="E142" s="273"/>
      <c r="F142" s="273"/>
      <c r="G142" s="274"/>
      <c r="H142" s="637">
        <f>C103</f>
        <v>5</v>
      </c>
      <c r="I142" s="440"/>
      <c r="J142" s="440"/>
    </row>
    <row r="143" spans="2:15" x14ac:dyDescent="0.25">
      <c r="B143" s="264">
        <v>6</v>
      </c>
      <c r="C143" s="440" t="s">
        <v>540</v>
      </c>
      <c r="D143" s="440"/>
      <c r="E143" s="440"/>
      <c r="F143" s="440"/>
      <c r="G143" s="440"/>
      <c r="H143" s="638"/>
      <c r="I143" s="638"/>
      <c r="J143" s="638"/>
    </row>
    <row r="144" spans="2:15" x14ac:dyDescent="0.25">
      <c r="B144" s="264">
        <v>7</v>
      </c>
      <c r="C144" s="440" t="s">
        <v>541</v>
      </c>
      <c r="D144" s="440"/>
      <c r="E144" s="440"/>
      <c r="F144" s="440"/>
      <c r="G144" s="440"/>
      <c r="H144" s="440">
        <f>F105</f>
        <v>4</v>
      </c>
      <c r="I144" s="440"/>
      <c r="J144" s="440"/>
    </row>
    <row r="145" spans="2:10" x14ac:dyDescent="0.25">
      <c r="B145" s="264">
        <v>8</v>
      </c>
      <c r="C145" s="440" t="s">
        <v>542</v>
      </c>
      <c r="D145" s="440"/>
      <c r="E145" s="440"/>
      <c r="F145" s="440"/>
      <c r="G145" s="440"/>
      <c r="H145" s="501">
        <f>H108</f>
        <v>1</v>
      </c>
      <c r="I145" s="501"/>
      <c r="J145" s="501"/>
    </row>
    <row r="146" spans="2:10" x14ac:dyDescent="0.25">
      <c r="B146" s="264">
        <v>9</v>
      </c>
      <c r="C146" s="440" t="s">
        <v>543</v>
      </c>
      <c r="D146" s="440"/>
      <c r="E146" s="440"/>
      <c r="F146" s="440"/>
      <c r="G146" s="440"/>
      <c r="H146" s="636">
        <f>G115</f>
        <v>8.3333333333333321</v>
      </c>
      <c r="I146" s="440"/>
      <c r="J146" s="440"/>
    </row>
    <row r="147" spans="2:10" x14ac:dyDescent="0.25">
      <c r="B147" s="264">
        <v>10</v>
      </c>
      <c r="C147" s="440" t="s">
        <v>544</v>
      </c>
      <c r="D147" s="440"/>
      <c r="E147" s="440"/>
      <c r="F147" s="440"/>
      <c r="G147" s="440"/>
      <c r="H147" s="501">
        <f>H118</f>
        <v>4.7</v>
      </c>
      <c r="I147" s="501"/>
      <c r="J147" s="501"/>
    </row>
    <row r="148" spans="2:10" x14ac:dyDescent="0.25">
      <c r="B148" s="264">
        <v>11</v>
      </c>
      <c r="C148" s="440" t="s">
        <v>545</v>
      </c>
      <c r="D148" s="440"/>
      <c r="E148" s="440"/>
      <c r="F148" s="440"/>
      <c r="G148" s="440"/>
      <c r="H148" s="501">
        <f>H129</f>
        <v>23</v>
      </c>
      <c r="I148" s="501"/>
      <c r="J148" s="501"/>
    </row>
  </sheetData>
  <mergeCells count="132">
    <mergeCell ref="C139:G139"/>
    <mergeCell ref="H139:J139"/>
    <mergeCell ref="C140:G140"/>
    <mergeCell ref="H140:J140"/>
    <mergeCell ref="C141:G141"/>
    <mergeCell ref="H141:J141"/>
    <mergeCell ref="B136:C136"/>
    <mergeCell ref="C137:G137"/>
    <mergeCell ref="H137:J137"/>
    <mergeCell ref="C148:G148"/>
    <mergeCell ref="H148:J148"/>
    <mergeCell ref="C142:D142"/>
    <mergeCell ref="C145:G145"/>
    <mergeCell ref="H145:J145"/>
    <mergeCell ref="C146:G146"/>
    <mergeCell ref="H146:J146"/>
    <mergeCell ref="C147:G147"/>
    <mergeCell ref="H147:J147"/>
    <mergeCell ref="H142:J142"/>
    <mergeCell ref="C143:G143"/>
    <mergeCell ref="H143:J143"/>
    <mergeCell ref="C144:G144"/>
    <mergeCell ref="H144:J144"/>
    <mergeCell ref="C138:G138"/>
    <mergeCell ref="H138:J138"/>
    <mergeCell ref="C131:E131"/>
    <mergeCell ref="I131:I132"/>
    <mergeCell ref="J131:K132"/>
    <mergeCell ref="B133:I133"/>
    <mergeCell ref="B125:C125"/>
    <mergeCell ref="H129:I129"/>
    <mergeCell ref="C130:E130"/>
    <mergeCell ref="H130:I130"/>
    <mergeCell ref="F127:F128"/>
    <mergeCell ref="E127:E128"/>
    <mergeCell ref="B98:F98"/>
    <mergeCell ref="E99:G99"/>
    <mergeCell ref="E100:F100"/>
    <mergeCell ref="H82:I82"/>
    <mergeCell ref="I117:J117"/>
    <mergeCell ref="H118:I118"/>
    <mergeCell ref="B120:D120"/>
    <mergeCell ref="B121:E121"/>
    <mergeCell ref="H121:I121"/>
    <mergeCell ref="J110:K110"/>
    <mergeCell ref="E103:F103"/>
    <mergeCell ref="G103:H103"/>
    <mergeCell ref="D104:E104"/>
    <mergeCell ref="B105:E105"/>
    <mergeCell ref="C106:D106"/>
    <mergeCell ref="E106:H106"/>
    <mergeCell ref="E108:F108"/>
    <mergeCell ref="C109:H109"/>
    <mergeCell ref="B110:I110"/>
    <mergeCell ref="B3:C3"/>
    <mergeCell ref="G77:I77"/>
    <mergeCell ref="B13:K17"/>
    <mergeCell ref="B7:K12"/>
    <mergeCell ref="B4:K6"/>
    <mergeCell ref="B26:D26"/>
    <mergeCell ref="B27:D27"/>
    <mergeCell ref="B23:E23"/>
    <mergeCell ref="H23:J23"/>
    <mergeCell ref="B24:E24"/>
    <mergeCell ref="H24:I24"/>
    <mergeCell ref="B20:C20"/>
    <mergeCell ref="B21:C21"/>
    <mergeCell ref="B22:C22"/>
    <mergeCell ref="H22:I22"/>
    <mergeCell ref="B19:E19"/>
    <mergeCell ref="H27:J27"/>
    <mergeCell ref="B39:E39"/>
    <mergeCell ref="B33:C33"/>
    <mergeCell ref="B25:D25"/>
    <mergeCell ref="B49:D49"/>
    <mergeCell ref="B37:E37"/>
    <mergeCell ref="B28:D28"/>
    <mergeCell ref="J69:K70"/>
    <mergeCell ref="H28:I28"/>
    <mergeCell ref="B30:E30"/>
    <mergeCell ref="B31:E31"/>
    <mergeCell ref="H31:I31"/>
    <mergeCell ref="B32:D32"/>
    <mergeCell ref="B50:E50"/>
    <mergeCell ref="B52:D52"/>
    <mergeCell ref="H37:I37"/>
    <mergeCell ref="B38:D38"/>
    <mergeCell ref="B41:C41"/>
    <mergeCell ref="B42:E42"/>
    <mergeCell ref="B43:E43"/>
    <mergeCell ref="B46:E46"/>
    <mergeCell ref="H33:I33"/>
    <mergeCell ref="B34:D34"/>
    <mergeCell ref="B35:C35"/>
    <mergeCell ref="H36:J36"/>
    <mergeCell ref="C54:E54"/>
    <mergeCell ref="D53:E53"/>
    <mergeCell ref="F69:F70"/>
    <mergeCell ref="I69:I70"/>
    <mergeCell ref="H58:I59"/>
    <mergeCell ref="B60:D60"/>
    <mergeCell ref="F60:G60"/>
    <mergeCell ref="B62:D62"/>
    <mergeCell ref="B58:D59"/>
    <mergeCell ref="F55:F57"/>
    <mergeCell ref="B63:E63"/>
    <mergeCell ref="B65:E65"/>
    <mergeCell ref="B66:E66"/>
    <mergeCell ref="B2:K2"/>
    <mergeCell ref="C124:E124"/>
    <mergeCell ref="B72:E72"/>
    <mergeCell ref="B73:D73"/>
    <mergeCell ref="B75:D75"/>
    <mergeCell ref="B68:E68"/>
    <mergeCell ref="D92:G92"/>
    <mergeCell ref="D95:G95"/>
    <mergeCell ref="B86:C87"/>
    <mergeCell ref="E111:F111"/>
    <mergeCell ref="C112:F112"/>
    <mergeCell ref="B114:F114"/>
    <mergeCell ref="C115:F115"/>
    <mergeCell ref="B122:E122"/>
    <mergeCell ref="B117:F117"/>
    <mergeCell ref="G81:K81"/>
    <mergeCell ref="G78:K79"/>
    <mergeCell ref="G80:J80"/>
    <mergeCell ref="H86:H87"/>
    <mergeCell ref="D91:F91"/>
    <mergeCell ref="G91:H91"/>
    <mergeCell ref="G101:I101"/>
    <mergeCell ref="E102:H102"/>
    <mergeCell ref="G54:H54"/>
  </mergeCells>
  <pageMargins left="0.7" right="0.7" top="0.75" bottom="0.75" header="0.3" footer="0.3"/>
  <pageSetup paperSize="9" orientation="portrait" r:id="rId1"/>
  <rowBreaks count="3" manualBreakCount="3">
    <brk id="44" max="10" man="1"/>
    <brk id="93" max="10" man="1"/>
    <brk id="134" max="10" man="1"/>
  </rowBreaks>
  <drawing r:id="rId2"/>
  <legacyDrawing r:id="rId3"/>
  <oleObjects>
    <mc:AlternateContent xmlns:mc="http://schemas.openxmlformats.org/markup-compatibility/2006">
      <mc:Choice Requires="x14">
        <oleObject progId="Equation.3" shapeId="18434" r:id="rId4">
          <objectPr defaultSize="0" autoPict="0" r:id="rId5">
            <anchor moveWithCells="1">
              <from>
                <xdr:col>1</xdr:col>
                <xdr:colOff>85725</xdr:colOff>
                <xdr:row>54</xdr:row>
                <xdr:rowOff>85725</xdr:rowOff>
              </from>
              <to>
                <xdr:col>4</xdr:col>
                <xdr:colOff>600075</xdr:colOff>
                <xdr:row>56</xdr:row>
                <xdr:rowOff>104775</xdr:rowOff>
              </to>
            </anchor>
          </objectPr>
        </oleObject>
      </mc:Choice>
      <mc:Fallback>
        <oleObject progId="Equation.3" shapeId="18434" r:id="rId4"/>
      </mc:Fallback>
    </mc:AlternateContent>
    <mc:AlternateContent xmlns:mc="http://schemas.openxmlformats.org/markup-compatibility/2006">
      <mc:Choice Requires="x14">
        <oleObject progId="Equation.3" shapeId="18435" r:id="rId6">
          <objectPr defaultSize="0" autoPict="0" r:id="rId7">
            <anchor moveWithCells="1">
              <from>
                <xdr:col>6</xdr:col>
                <xdr:colOff>57150</xdr:colOff>
                <xdr:row>54</xdr:row>
                <xdr:rowOff>38100</xdr:rowOff>
              </from>
              <to>
                <xdr:col>7</xdr:col>
                <xdr:colOff>342900</xdr:colOff>
                <xdr:row>56</xdr:row>
                <xdr:rowOff>95250</xdr:rowOff>
              </to>
            </anchor>
          </objectPr>
        </oleObject>
      </mc:Choice>
      <mc:Fallback>
        <oleObject progId="Equation.3" shapeId="18435" r:id="rId6"/>
      </mc:Fallback>
    </mc:AlternateContent>
    <mc:AlternateContent xmlns:mc="http://schemas.openxmlformats.org/markup-compatibility/2006">
      <mc:Choice Requires="x14">
        <oleObject progId="Equation.3" shapeId="18436" r:id="rId8">
          <objectPr defaultSize="0" autoPict="0" r:id="rId9">
            <anchor moveWithCells="1">
              <from>
                <xdr:col>1</xdr:col>
                <xdr:colOff>542925</xdr:colOff>
                <xdr:row>68</xdr:row>
                <xdr:rowOff>28575</xdr:rowOff>
              </from>
              <to>
                <xdr:col>4</xdr:col>
                <xdr:colOff>590550</xdr:colOff>
                <xdr:row>70</xdr:row>
                <xdr:rowOff>47625</xdr:rowOff>
              </to>
            </anchor>
          </objectPr>
        </oleObject>
      </mc:Choice>
      <mc:Fallback>
        <oleObject progId="Equation.3" shapeId="18436" r:id="rId8"/>
      </mc:Fallback>
    </mc:AlternateContent>
    <mc:AlternateContent xmlns:mc="http://schemas.openxmlformats.org/markup-compatibility/2006">
      <mc:Choice Requires="x14">
        <oleObject progId="Equation.3" shapeId="18437" r:id="rId10">
          <objectPr defaultSize="0" autoPict="0" r:id="rId11">
            <anchor moveWithCells="1">
              <from>
                <xdr:col>1</xdr:col>
                <xdr:colOff>304800</xdr:colOff>
                <xdr:row>76</xdr:row>
                <xdr:rowOff>9525</xdr:rowOff>
              </from>
              <to>
                <xdr:col>3</xdr:col>
                <xdr:colOff>352425</xdr:colOff>
                <xdr:row>77</xdr:row>
                <xdr:rowOff>95250</xdr:rowOff>
              </to>
            </anchor>
          </objectPr>
        </oleObject>
      </mc:Choice>
      <mc:Fallback>
        <oleObject progId="Equation.3" shapeId="18437" r:id="rId10"/>
      </mc:Fallback>
    </mc:AlternateContent>
    <mc:AlternateContent xmlns:mc="http://schemas.openxmlformats.org/markup-compatibility/2006">
      <mc:Choice Requires="x14">
        <oleObject progId="Equation.3" shapeId="18438" r:id="rId12">
          <objectPr defaultSize="0" r:id="rId13">
            <anchor moveWithCells="1">
              <from>
                <xdr:col>3</xdr:col>
                <xdr:colOff>47625</xdr:colOff>
                <xdr:row>85</xdr:row>
                <xdr:rowOff>0</xdr:rowOff>
              </from>
              <to>
                <xdr:col>6</xdr:col>
                <xdr:colOff>95250</xdr:colOff>
                <xdr:row>87</xdr:row>
                <xdr:rowOff>9525</xdr:rowOff>
              </to>
            </anchor>
          </objectPr>
        </oleObject>
      </mc:Choice>
      <mc:Fallback>
        <oleObject progId="Equation.3" shapeId="18438" r:id="rId12"/>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N152"/>
  <sheetViews>
    <sheetView view="pageBreakPreview" zoomScaleNormal="100" zoomScaleSheetLayoutView="100" workbookViewId="0">
      <selection activeCell="B2" sqref="B2:K2"/>
    </sheetView>
  </sheetViews>
  <sheetFormatPr defaultRowHeight="15" x14ac:dyDescent="0.25"/>
  <cols>
    <col min="1" max="1" width="2.7109375" style="260" bestFit="1" customWidth="1"/>
    <col min="2" max="2" width="9.140625" style="260"/>
    <col min="3" max="3" width="10.5703125" style="260" bestFit="1" customWidth="1"/>
    <col min="4" max="4" width="11.5703125" style="260" bestFit="1" customWidth="1"/>
    <col min="5" max="5" width="10.28515625" style="260" bestFit="1" customWidth="1"/>
    <col min="6" max="6" width="2.140625" style="260" bestFit="1" customWidth="1"/>
    <col min="7" max="7" width="9.140625" style="260" bestFit="1" customWidth="1"/>
    <col min="8" max="8" width="10.85546875" style="289" bestFit="1" customWidth="1"/>
    <col min="9" max="9" width="9.7109375" style="260" bestFit="1" customWidth="1"/>
    <col min="10" max="10" width="6.140625" style="260" bestFit="1" customWidth="1"/>
    <col min="11" max="11" width="4.28515625" style="260" customWidth="1"/>
    <col min="12" max="13" width="11.5703125" style="260" bestFit="1" customWidth="1"/>
    <col min="14" max="16384" width="9.140625" style="260"/>
  </cols>
  <sheetData>
    <row r="2" spans="1:14" ht="15" customHeight="1" x14ac:dyDescent="0.25">
      <c r="B2" s="447" t="s">
        <v>546</v>
      </c>
      <c r="C2" s="448"/>
      <c r="D2" s="448"/>
      <c r="E2" s="448"/>
      <c r="F2" s="448"/>
      <c r="G2" s="448"/>
      <c r="H2" s="448"/>
      <c r="I2" s="448"/>
      <c r="J2" s="448"/>
      <c r="K2" s="449"/>
    </row>
    <row r="4" spans="1:14" ht="15" customHeight="1" x14ac:dyDescent="0.25">
      <c r="A4" s="260" t="s">
        <v>113</v>
      </c>
      <c r="B4" s="431" t="s">
        <v>547</v>
      </c>
      <c r="C4" s="431"/>
      <c r="D4" s="431"/>
      <c r="E4" s="431"/>
      <c r="G4" s="131"/>
    </row>
    <row r="5" spans="1:14" x14ac:dyDescent="0.25">
      <c r="B5" s="431" t="s">
        <v>548</v>
      </c>
      <c r="C5" s="431"/>
      <c r="D5" s="431"/>
      <c r="F5" s="260" t="s">
        <v>2</v>
      </c>
      <c r="G5" s="131">
        <f>5</f>
        <v>5</v>
      </c>
      <c r="H5" s="183">
        <f>7</f>
        <v>7</v>
      </c>
      <c r="I5" s="431" t="s">
        <v>454</v>
      </c>
      <c r="J5" s="431"/>
    </row>
    <row r="6" spans="1:14" x14ac:dyDescent="0.25">
      <c r="B6" s="431" t="s">
        <v>549</v>
      </c>
      <c r="C6" s="431"/>
      <c r="D6" s="431"/>
      <c r="E6" s="431"/>
      <c r="F6" s="260" t="s">
        <v>2</v>
      </c>
    </row>
    <row r="7" spans="1:14" ht="15" customHeight="1" x14ac:dyDescent="0.25">
      <c r="A7" s="428" t="s">
        <v>550</v>
      </c>
      <c r="B7" s="428"/>
      <c r="C7" s="428"/>
      <c r="D7" s="428"/>
      <c r="E7" s="428"/>
      <c r="F7" s="428"/>
      <c r="G7" s="428"/>
      <c r="H7" s="275">
        <f>0.5</f>
        <v>0.5</v>
      </c>
    </row>
    <row r="8" spans="1:14" x14ac:dyDescent="0.25">
      <c r="F8" s="260" t="s">
        <v>2</v>
      </c>
      <c r="G8" s="275">
        <f>2.6</f>
        <v>2.6</v>
      </c>
    </row>
    <row r="9" spans="1:14" x14ac:dyDescent="0.25">
      <c r="B9" s="431" t="s">
        <v>551</v>
      </c>
      <c r="C9" s="431"/>
      <c r="D9" s="431"/>
      <c r="F9" s="260" t="s">
        <v>2</v>
      </c>
      <c r="G9" s="214">
        <f>0.45</f>
        <v>0.45</v>
      </c>
      <c r="H9" s="293">
        <f>0.7</f>
        <v>0.7</v>
      </c>
    </row>
    <row r="10" spans="1:14" x14ac:dyDescent="0.25">
      <c r="B10" s="431" t="s">
        <v>552</v>
      </c>
      <c r="C10" s="431"/>
      <c r="D10" s="431"/>
      <c r="E10" s="431"/>
      <c r="F10" s="260" t="s">
        <v>2</v>
      </c>
      <c r="G10" s="214">
        <f>1.3</f>
        <v>1.3</v>
      </c>
      <c r="H10" s="293">
        <v>1.7</v>
      </c>
    </row>
    <row r="11" spans="1:14" ht="15" customHeight="1" x14ac:dyDescent="0.25">
      <c r="A11" s="430" t="s">
        <v>553</v>
      </c>
      <c r="B11" s="430"/>
      <c r="C11" s="430"/>
      <c r="D11" s="430"/>
      <c r="E11" s="663">
        <f>0.7</f>
        <v>0.7</v>
      </c>
      <c r="F11" s="663"/>
      <c r="G11" s="431" t="s">
        <v>554</v>
      </c>
      <c r="H11" s="431"/>
      <c r="I11" s="431"/>
    </row>
    <row r="12" spans="1:14" x14ac:dyDescent="0.25">
      <c r="B12" s="431" t="s">
        <v>555</v>
      </c>
      <c r="C12" s="431"/>
      <c r="F12" s="260" t="s">
        <v>2</v>
      </c>
      <c r="G12" s="214">
        <f>2.55</f>
        <v>2.5499999999999998</v>
      </c>
      <c r="H12" s="331">
        <f>2.65</f>
        <v>2.65</v>
      </c>
      <c r="N12" s="260">
        <f>(1.3+1.7)/2</f>
        <v>1.5</v>
      </c>
    </row>
    <row r="13" spans="1:14" ht="15" customHeight="1" x14ac:dyDescent="0.25">
      <c r="A13" s="430" t="s">
        <v>556</v>
      </c>
      <c r="B13" s="430"/>
      <c r="C13" s="430"/>
      <c r="D13" s="430"/>
      <c r="E13" s="663">
        <f>3</f>
        <v>3</v>
      </c>
      <c r="F13" s="663"/>
    </row>
    <row r="14" spans="1:14" x14ac:dyDescent="0.25">
      <c r="B14" s="431" t="s">
        <v>557</v>
      </c>
      <c r="C14" s="431"/>
      <c r="D14" s="431"/>
      <c r="E14" s="431"/>
      <c r="F14" s="260" t="s">
        <v>2</v>
      </c>
      <c r="G14" s="262">
        <v>2</v>
      </c>
    </row>
    <row r="15" spans="1:14" x14ac:dyDescent="0.25">
      <c r="B15" s="431" t="s">
        <v>558</v>
      </c>
      <c r="C15" s="431"/>
      <c r="D15" s="431"/>
      <c r="F15" s="260" t="s">
        <v>2</v>
      </c>
      <c r="G15" s="51">
        <f>0.6</f>
        <v>0.6</v>
      </c>
      <c r="H15" s="331">
        <f>0.75</f>
        <v>0.75</v>
      </c>
    </row>
    <row r="16" spans="1:14" x14ac:dyDescent="0.25">
      <c r="B16" s="431" t="s">
        <v>559</v>
      </c>
      <c r="C16" s="431"/>
      <c r="D16" s="431"/>
      <c r="E16" s="431"/>
      <c r="F16" s="260" t="s">
        <v>2</v>
      </c>
      <c r="G16" s="131">
        <f>1</f>
        <v>1</v>
      </c>
      <c r="H16" s="276">
        <v>2</v>
      </c>
    </row>
    <row r="17" spans="1:10" ht="15" customHeight="1" x14ac:dyDescent="0.25">
      <c r="B17" s="428" t="s">
        <v>560</v>
      </c>
      <c r="C17" s="428"/>
      <c r="D17" s="428"/>
      <c r="E17" s="664">
        <f>0.5</f>
        <v>0.5</v>
      </c>
      <c r="F17" s="664"/>
    </row>
    <row r="19" spans="1:10" x14ac:dyDescent="0.25">
      <c r="A19" s="260" t="s">
        <v>116</v>
      </c>
      <c r="B19" s="438" t="s">
        <v>561</v>
      </c>
      <c r="C19" s="438"/>
      <c r="D19" s="438"/>
    </row>
    <row r="20" spans="1:10" x14ac:dyDescent="0.25">
      <c r="B20" s="431" t="s">
        <v>562</v>
      </c>
      <c r="C20" s="431"/>
      <c r="D20" s="431"/>
      <c r="F20" s="260" t="s">
        <v>2</v>
      </c>
      <c r="G20" s="272">
        <f>Clariflocculator!G42</f>
        <v>555.4799999999999</v>
      </c>
      <c r="H20" s="431" t="s">
        <v>466</v>
      </c>
      <c r="I20" s="431"/>
    </row>
    <row r="21" spans="1:10" x14ac:dyDescent="0.25">
      <c r="B21" s="431" t="s">
        <v>563</v>
      </c>
      <c r="C21" s="431"/>
      <c r="D21" s="431"/>
      <c r="E21" s="431"/>
      <c r="F21" s="260" t="s">
        <v>2</v>
      </c>
      <c r="G21" s="126">
        <f>2</f>
        <v>2</v>
      </c>
    </row>
    <row r="22" spans="1:10" x14ac:dyDescent="0.25">
      <c r="B22" s="431" t="s">
        <v>564</v>
      </c>
      <c r="C22" s="431"/>
      <c r="D22" s="431"/>
      <c r="E22" s="431"/>
      <c r="F22" s="260" t="s">
        <v>2</v>
      </c>
      <c r="G22" s="277">
        <v>30</v>
      </c>
    </row>
    <row r="23" spans="1:10" x14ac:dyDescent="0.25">
      <c r="B23" s="431" t="s">
        <v>565</v>
      </c>
      <c r="C23" s="431"/>
      <c r="D23" s="431"/>
      <c r="E23" s="431"/>
      <c r="F23" s="260" t="s">
        <v>2</v>
      </c>
      <c r="G23" s="185">
        <f>5</f>
        <v>5</v>
      </c>
      <c r="H23" s="431" t="s">
        <v>454</v>
      </c>
      <c r="I23" s="431"/>
    </row>
    <row r="24" spans="1:10" x14ac:dyDescent="0.25">
      <c r="B24" s="431" t="s">
        <v>566</v>
      </c>
      <c r="C24" s="431"/>
      <c r="D24" s="431"/>
      <c r="E24" s="431"/>
      <c r="F24" s="260" t="s">
        <v>2</v>
      </c>
      <c r="G24" s="214">
        <v>1.25</v>
      </c>
      <c r="H24" s="667">
        <v>1.33</v>
      </c>
      <c r="I24" s="667"/>
    </row>
    <row r="25" spans="1:10" x14ac:dyDescent="0.25">
      <c r="B25" s="431" t="s">
        <v>567</v>
      </c>
      <c r="C25" s="431"/>
      <c r="D25" s="431"/>
      <c r="E25" s="431"/>
      <c r="F25" s="260" t="s">
        <v>2</v>
      </c>
      <c r="G25" s="431" t="s">
        <v>569</v>
      </c>
      <c r="H25" s="431"/>
      <c r="I25" s="431"/>
      <c r="J25" s="431"/>
    </row>
    <row r="26" spans="1:10" x14ac:dyDescent="0.25">
      <c r="B26" s="431" t="s">
        <v>568</v>
      </c>
      <c r="C26" s="431"/>
      <c r="D26" s="431"/>
      <c r="E26" s="431"/>
      <c r="F26" s="260" t="s">
        <v>2</v>
      </c>
      <c r="G26" s="203">
        <f>13</f>
        <v>13</v>
      </c>
    </row>
    <row r="27" spans="1:10" ht="15" customHeight="1" x14ac:dyDescent="0.25">
      <c r="C27" s="6"/>
      <c r="D27" s="6"/>
      <c r="E27" s="6"/>
    </row>
    <row r="28" spans="1:10" x14ac:dyDescent="0.25">
      <c r="A28" s="260" t="s">
        <v>120</v>
      </c>
      <c r="B28" s="438" t="s">
        <v>197</v>
      </c>
      <c r="C28" s="438"/>
      <c r="D28" s="438"/>
      <c r="E28" s="438"/>
    </row>
    <row r="29" spans="1:10" x14ac:dyDescent="0.25">
      <c r="B29" s="431" t="s">
        <v>570</v>
      </c>
      <c r="C29" s="431"/>
      <c r="D29" s="431"/>
      <c r="E29" s="431"/>
      <c r="F29" s="260" t="s">
        <v>2</v>
      </c>
      <c r="G29" s="39">
        <f>G20</f>
        <v>555.4799999999999</v>
      </c>
      <c r="H29" s="431" t="s">
        <v>466</v>
      </c>
      <c r="I29" s="431"/>
    </row>
    <row r="30" spans="1:10" ht="15" customHeight="1" x14ac:dyDescent="0.25">
      <c r="B30" s="431" t="s">
        <v>571</v>
      </c>
      <c r="C30" s="431"/>
      <c r="D30" s="431"/>
      <c r="E30" s="431"/>
      <c r="F30" s="260" t="s">
        <v>2</v>
      </c>
      <c r="G30" s="428" t="str">
        <f>""&amp;G29&amp;" x ( 1 + "&amp;G21/100&amp;" ) x "</f>
        <v xml:space="preserve">555.48 x ( 1 + 0.02 ) x </v>
      </c>
      <c r="H30" s="428"/>
      <c r="I30" s="428"/>
      <c r="J30" s="43">
        <v>24</v>
      </c>
    </row>
    <row r="31" spans="1:10" x14ac:dyDescent="0.25">
      <c r="G31" s="428"/>
      <c r="H31" s="428"/>
      <c r="I31" s="428"/>
      <c r="J31" s="268">
        <v>23.5</v>
      </c>
    </row>
    <row r="32" spans="1:10" x14ac:dyDescent="0.25">
      <c r="F32" s="260" t="s">
        <v>2</v>
      </c>
      <c r="G32" s="39">
        <f>ROUND(G29*(1+G21/100)*(J30/J31),2)</f>
        <v>578.64</v>
      </c>
      <c r="H32" s="431" t="s">
        <v>466</v>
      </c>
      <c r="I32" s="431"/>
    </row>
    <row r="33" spans="2:11" ht="15" customHeight="1" x14ac:dyDescent="0.25">
      <c r="B33" s="428" t="s">
        <v>572</v>
      </c>
      <c r="C33" s="428"/>
      <c r="D33" s="428"/>
      <c r="F33" s="428" t="s">
        <v>2</v>
      </c>
      <c r="G33" s="271">
        <f>G32</f>
        <v>578.64</v>
      </c>
      <c r="H33" s="650">
        <f>G33/5</f>
        <v>115.72799999999999</v>
      </c>
      <c r="I33" s="480" t="s">
        <v>658</v>
      </c>
      <c r="J33" s="668">
        <f>116</f>
        <v>116</v>
      </c>
      <c r="K33" s="480" t="s">
        <v>99</v>
      </c>
    </row>
    <row r="34" spans="2:11" x14ac:dyDescent="0.25">
      <c r="B34" s="428"/>
      <c r="C34" s="428"/>
      <c r="D34" s="428"/>
      <c r="F34" s="428"/>
      <c r="G34" s="262">
        <v>5</v>
      </c>
      <c r="H34" s="650"/>
      <c r="I34" s="480"/>
      <c r="J34" s="668"/>
      <c r="K34" s="480"/>
    </row>
    <row r="35" spans="2:11" x14ac:dyDescent="0.25">
      <c r="B35" s="287" t="s">
        <v>573</v>
      </c>
      <c r="C35" s="387">
        <f>G14</f>
        <v>2</v>
      </c>
      <c r="D35" s="289" t="s">
        <v>574</v>
      </c>
    </row>
    <row r="36" spans="2:11" ht="15" customHeight="1" x14ac:dyDescent="0.25">
      <c r="B36" s="431" t="s">
        <v>575</v>
      </c>
      <c r="C36" s="431"/>
      <c r="D36" s="431"/>
      <c r="E36" s="431"/>
      <c r="F36" s="428" t="s">
        <v>2</v>
      </c>
      <c r="G36" s="278">
        <f>J33</f>
        <v>116</v>
      </c>
      <c r="H36" s="669">
        <f>G36/G37</f>
        <v>58</v>
      </c>
      <c r="I36" s="480" t="s">
        <v>99</v>
      </c>
    </row>
    <row r="37" spans="2:11" x14ac:dyDescent="0.25">
      <c r="B37" s="431"/>
      <c r="C37" s="431"/>
      <c r="D37" s="431"/>
      <c r="E37" s="431"/>
      <c r="F37" s="428"/>
      <c r="G37" s="260">
        <v>2</v>
      </c>
      <c r="H37" s="669"/>
      <c r="I37" s="480"/>
    </row>
    <row r="38" spans="2:11" x14ac:dyDescent="0.25">
      <c r="B38" s="260" t="s">
        <v>576</v>
      </c>
      <c r="C38" s="263" t="s">
        <v>578</v>
      </c>
      <c r="D38" s="287" t="s">
        <v>613</v>
      </c>
      <c r="E38" s="323">
        <f>G24</f>
        <v>1.25</v>
      </c>
      <c r="F38" s="260" t="s">
        <v>2</v>
      </c>
      <c r="G38" s="279">
        <f>H36</f>
        <v>58</v>
      </c>
      <c r="H38" s="292" t="s">
        <v>99</v>
      </c>
    </row>
    <row r="39" spans="2:11" ht="16.5" x14ac:dyDescent="0.25">
      <c r="D39" s="430" t="s">
        <v>168</v>
      </c>
      <c r="E39" s="428" t="s">
        <v>579</v>
      </c>
      <c r="F39" s="428" t="s">
        <v>2</v>
      </c>
      <c r="G39" s="278">
        <f>G38</f>
        <v>58</v>
      </c>
      <c r="H39" s="291" t="s">
        <v>474</v>
      </c>
    </row>
    <row r="40" spans="2:11" x14ac:dyDescent="0.25">
      <c r="D40" s="430"/>
      <c r="E40" s="428"/>
      <c r="F40" s="428"/>
      <c r="G40" s="324">
        <f>E38</f>
        <v>1.25</v>
      </c>
    </row>
    <row r="41" spans="2:11" x14ac:dyDescent="0.25">
      <c r="F41" s="260" t="s">
        <v>2</v>
      </c>
      <c r="G41" s="269">
        <f>ROUND((G39/G40)^(0.5),1)</f>
        <v>6.8</v>
      </c>
    </row>
    <row r="42" spans="2:11" x14ac:dyDescent="0.25">
      <c r="E42" s="260" t="s">
        <v>577</v>
      </c>
      <c r="F42" s="260" t="s">
        <v>2</v>
      </c>
      <c r="G42" s="325">
        <f>G40</f>
        <v>1.25</v>
      </c>
      <c r="H42" s="251">
        <f>G41</f>
        <v>6.8</v>
      </c>
      <c r="I42" s="281">
        <f>G42*H42</f>
        <v>8.5</v>
      </c>
      <c r="J42" s="666">
        <f>I42+0.1</f>
        <v>8.6</v>
      </c>
      <c r="K42" s="666"/>
    </row>
    <row r="43" spans="2:11" x14ac:dyDescent="0.25">
      <c r="B43" s="260" t="s">
        <v>430</v>
      </c>
      <c r="C43" s="280">
        <f>C35</f>
        <v>2</v>
      </c>
      <c r="D43" s="428" t="s">
        <v>580</v>
      </c>
      <c r="E43" s="428"/>
      <c r="F43" s="428"/>
      <c r="G43" s="428"/>
      <c r="H43" s="332">
        <f>J42</f>
        <v>8.6</v>
      </c>
      <c r="I43" s="282">
        <f>G41</f>
        <v>6.8</v>
      </c>
    </row>
    <row r="45" spans="2:11" x14ac:dyDescent="0.25">
      <c r="B45" s="476" t="s">
        <v>581</v>
      </c>
      <c r="C45" s="476"/>
      <c r="D45" s="476"/>
      <c r="E45" s="476"/>
    </row>
    <row r="46" spans="2:11" x14ac:dyDescent="0.25">
      <c r="B46" s="428" t="s">
        <v>582</v>
      </c>
      <c r="C46" s="428"/>
      <c r="D46" s="428"/>
      <c r="E46" s="428"/>
      <c r="F46" s="428"/>
    </row>
    <row r="47" spans="2:11" x14ac:dyDescent="0.25">
      <c r="B47" s="428" t="s">
        <v>583</v>
      </c>
      <c r="C47" s="428"/>
      <c r="D47" s="428"/>
    </row>
    <row r="48" spans="2:11" ht="18" x14ac:dyDescent="0.25">
      <c r="D48" s="286"/>
      <c r="E48" s="301" t="s">
        <v>659</v>
      </c>
      <c r="F48" s="6" t="s">
        <v>2</v>
      </c>
      <c r="G48" s="665">
        <f>293223</f>
        <v>293223</v>
      </c>
      <c r="H48" s="665"/>
    </row>
    <row r="49" spans="2:11" x14ac:dyDescent="0.25">
      <c r="D49" s="286"/>
      <c r="E49" s="354" t="s">
        <v>629</v>
      </c>
      <c r="F49" s="6"/>
      <c r="G49" s="260" t="s">
        <v>252</v>
      </c>
    </row>
    <row r="50" spans="2:11" x14ac:dyDescent="0.25">
      <c r="C50" s="299" t="s">
        <v>586</v>
      </c>
      <c r="D50" s="428" t="s">
        <v>660</v>
      </c>
      <c r="E50" s="428"/>
      <c r="F50" s="6" t="s">
        <v>587</v>
      </c>
      <c r="G50" s="431" t="s">
        <v>588</v>
      </c>
      <c r="H50" s="431"/>
      <c r="I50" s="431"/>
      <c r="J50" s="431"/>
    </row>
    <row r="51" spans="2:11" ht="15" customHeight="1" x14ac:dyDescent="0.25">
      <c r="B51" s="430" t="s">
        <v>589</v>
      </c>
      <c r="C51" s="430" t="s">
        <v>591</v>
      </c>
      <c r="D51" s="61">
        <f>4</f>
        <v>4</v>
      </c>
      <c r="E51" s="431" t="s">
        <v>590</v>
      </c>
      <c r="F51" s="431"/>
      <c r="G51" s="431"/>
      <c r="H51" s="431"/>
      <c r="I51" s="431"/>
      <c r="J51" s="431"/>
      <c r="K51" s="6"/>
    </row>
    <row r="52" spans="2:11" x14ac:dyDescent="0.25">
      <c r="B52" s="430"/>
      <c r="C52" s="430"/>
      <c r="D52" s="288">
        <f>10000</f>
        <v>10000</v>
      </c>
      <c r="E52" s="431"/>
      <c r="F52" s="431"/>
      <c r="G52" s="431"/>
      <c r="H52" s="431"/>
      <c r="I52" s="431"/>
      <c r="J52" s="431"/>
      <c r="K52" s="6"/>
    </row>
    <row r="53" spans="2:11" x14ac:dyDescent="0.25">
      <c r="C53" s="287" t="s">
        <v>592</v>
      </c>
      <c r="D53" s="79">
        <f>2.5</f>
        <v>2.5</v>
      </c>
      <c r="E53" s="431" t="s">
        <v>593</v>
      </c>
      <c r="F53" s="431"/>
      <c r="G53" s="431"/>
      <c r="H53" s="431"/>
      <c r="I53" s="431"/>
    </row>
    <row r="54" spans="2:11" ht="18" x14ac:dyDescent="0.25">
      <c r="C54" s="287" t="s">
        <v>595</v>
      </c>
      <c r="D54" s="315">
        <f>5</f>
        <v>5</v>
      </c>
      <c r="E54" s="289" t="s">
        <v>596</v>
      </c>
      <c r="F54" s="431" t="s">
        <v>597</v>
      </c>
      <c r="G54" s="431"/>
      <c r="H54" s="431"/>
      <c r="I54" s="431"/>
      <c r="J54" s="431"/>
    </row>
    <row r="55" spans="2:11" x14ac:dyDescent="0.25">
      <c r="C55" s="287" t="s">
        <v>102</v>
      </c>
      <c r="D55" s="316">
        <f>0.6</f>
        <v>0.6</v>
      </c>
      <c r="E55" s="431" t="s">
        <v>598</v>
      </c>
      <c r="F55" s="431"/>
      <c r="G55" s="431"/>
    </row>
    <row r="57" spans="2:11" ht="15" customHeight="1" x14ac:dyDescent="0.25">
      <c r="B57" s="430" t="s">
        <v>168</v>
      </c>
      <c r="C57" s="673">
        <f>D54*2</f>
        <v>10</v>
      </c>
      <c r="D57" s="460" t="str">
        <f>""&amp;D55&amp;" x "&amp;D55&amp;" x "&amp;D55&amp;" x "&amp;D53</f>
        <v>0.6 x 0.6 x 0.6 x 2.5</v>
      </c>
      <c r="E57" s="460"/>
      <c r="F57" s="428" t="s">
        <v>2</v>
      </c>
      <c r="G57" s="301">
        <f>D51</f>
        <v>4</v>
      </c>
      <c r="H57" s="670">
        <f>G48</f>
        <v>293223</v>
      </c>
      <c r="I57" s="317"/>
    </row>
    <row r="58" spans="2:11" x14ac:dyDescent="0.25">
      <c r="B58" s="430"/>
      <c r="C58" s="673"/>
      <c r="D58" s="201" t="str">
        <f>E49</f>
        <v>ℓ</v>
      </c>
      <c r="E58" s="6"/>
      <c r="F58" s="428"/>
      <c r="G58" s="260">
        <f>D52</f>
        <v>10000</v>
      </c>
      <c r="H58" s="670"/>
      <c r="I58" s="317"/>
    </row>
    <row r="59" spans="2:11" x14ac:dyDescent="0.25">
      <c r="E59" s="304" t="s">
        <v>629</v>
      </c>
      <c r="F59" s="6" t="s">
        <v>2</v>
      </c>
      <c r="G59" s="318">
        <f>ROUND((C57*D55*D55*D55*D53*D52/(D51*H57))*1000,2)</f>
        <v>46.04</v>
      </c>
      <c r="H59" s="431" t="s">
        <v>599</v>
      </c>
      <c r="I59" s="431"/>
      <c r="J59" s="431"/>
    </row>
    <row r="60" spans="2:11" x14ac:dyDescent="0.25">
      <c r="B60" s="430" t="s">
        <v>600</v>
      </c>
      <c r="C60" s="430"/>
      <c r="D60" s="430"/>
      <c r="E60" s="430"/>
      <c r="F60" s="430"/>
      <c r="G60" s="319">
        <f>60</f>
        <v>60</v>
      </c>
    </row>
    <row r="62" spans="2:11" x14ac:dyDescent="0.25">
      <c r="B62" s="476" t="s">
        <v>601</v>
      </c>
      <c r="C62" s="476"/>
      <c r="D62" s="476"/>
      <c r="E62" s="476"/>
      <c r="F62" s="476"/>
    </row>
    <row r="63" spans="2:11" ht="15" customHeight="1" x14ac:dyDescent="0.25">
      <c r="B63" s="430" t="s">
        <v>602</v>
      </c>
      <c r="C63" s="430"/>
      <c r="D63" s="430"/>
      <c r="E63" s="671">
        <f>2</f>
        <v>2</v>
      </c>
      <c r="F63" s="671"/>
      <c r="G63" s="320">
        <f>40</f>
        <v>40</v>
      </c>
      <c r="H63" s="672" t="s">
        <v>603</v>
      </c>
      <c r="I63" s="672"/>
      <c r="J63" s="672"/>
    </row>
    <row r="64" spans="2:11" ht="15" customHeight="1" x14ac:dyDescent="0.25">
      <c r="B64" s="363"/>
      <c r="C64" s="363" t="s">
        <v>604</v>
      </c>
      <c r="D64" s="417">
        <f>2.54</f>
        <v>2.54</v>
      </c>
      <c r="E64" s="429" t="s">
        <v>708</v>
      </c>
      <c r="F64" s="429"/>
      <c r="G64" s="321"/>
    </row>
    <row r="65" spans="1:12" x14ac:dyDescent="0.25">
      <c r="C65" s="430" t="s">
        <v>605</v>
      </c>
      <c r="D65" s="430"/>
      <c r="E65" s="260" t="s">
        <v>606</v>
      </c>
      <c r="F65" s="260" t="s">
        <v>2</v>
      </c>
      <c r="G65" s="322">
        <f>(H65+I65)/2</f>
        <v>12</v>
      </c>
      <c r="H65" s="378">
        <f>10</f>
        <v>10</v>
      </c>
      <c r="I65" s="221">
        <v>14</v>
      </c>
      <c r="J65" s="289" t="s">
        <v>607</v>
      </c>
    </row>
    <row r="66" spans="1:12" x14ac:dyDescent="0.25">
      <c r="B66" s="430" t="s">
        <v>609</v>
      </c>
      <c r="C66" s="430"/>
      <c r="D66" s="430"/>
      <c r="E66" s="431" t="s">
        <v>608</v>
      </c>
      <c r="F66" s="431"/>
      <c r="G66" s="431"/>
    </row>
    <row r="67" spans="1:12" x14ac:dyDescent="0.25">
      <c r="A67" s="440" t="s">
        <v>610</v>
      </c>
      <c r="B67" s="440"/>
      <c r="C67" s="290">
        <v>2</v>
      </c>
      <c r="D67" s="290">
        <v>5</v>
      </c>
      <c r="E67" s="290">
        <v>10</v>
      </c>
      <c r="F67" s="441">
        <v>20</v>
      </c>
      <c r="G67" s="444"/>
      <c r="H67" s="290">
        <v>40</v>
      </c>
    </row>
    <row r="68" spans="1:12" x14ac:dyDescent="0.25">
      <c r="A68" s="679" t="s">
        <v>611</v>
      </c>
      <c r="B68" s="679"/>
      <c r="C68" s="328">
        <f>9.2</f>
        <v>9.1999999999999993</v>
      </c>
      <c r="D68" s="328">
        <f>21.3</f>
        <v>21.3</v>
      </c>
      <c r="E68" s="328">
        <v>30.5</v>
      </c>
      <c r="F68" s="456">
        <v>40</v>
      </c>
      <c r="G68" s="457"/>
      <c r="H68" s="328">
        <v>49</v>
      </c>
      <c r="L68" s="260">
        <f>2.54*12*(LOG10(9.2))</f>
        <v>29.376252977492523</v>
      </c>
    </row>
    <row r="69" spans="1:12" x14ac:dyDescent="0.25">
      <c r="A69" s="440" t="s">
        <v>612</v>
      </c>
      <c r="B69" s="440"/>
      <c r="C69" s="328">
        <f>9.2</f>
        <v>9.1999999999999993</v>
      </c>
      <c r="D69" s="328">
        <v>12.1</v>
      </c>
      <c r="E69" s="328">
        <v>9.1999999999999993</v>
      </c>
      <c r="F69" s="456">
        <v>9.5</v>
      </c>
      <c r="G69" s="457"/>
      <c r="H69" s="328">
        <v>9</v>
      </c>
    </row>
    <row r="70" spans="1:12" s="286" customFormat="1" x14ac:dyDescent="0.25">
      <c r="A70" s="297"/>
      <c r="B70" s="677" t="s">
        <v>616</v>
      </c>
      <c r="C70" s="677"/>
      <c r="D70" s="319">
        <f>50</f>
        <v>50</v>
      </c>
      <c r="E70" s="678" t="s">
        <v>617</v>
      </c>
      <c r="F70" s="678"/>
      <c r="G70" s="678"/>
      <c r="H70" s="333"/>
    </row>
    <row r="72" spans="1:12" x14ac:dyDescent="0.25">
      <c r="B72" s="476" t="s">
        <v>614</v>
      </c>
      <c r="C72" s="476"/>
      <c r="D72" s="476"/>
      <c r="E72" s="476"/>
    </row>
    <row r="73" spans="1:12" x14ac:dyDescent="0.25">
      <c r="B73" s="431" t="s">
        <v>615</v>
      </c>
      <c r="C73" s="431"/>
      <c r="D73" s="431"/>
      <c r="E73" s="431"/>
      <c r="F73" s="260" t="s">
        <v>2</v>
      </c>
      <c r="G73" s="326">
        <f>H43</f>
        <v>8.6</v>
      </c>
      <c r="H73" s="294">
        <f>I43</f>
        <v>6.8</v>
      </c>
    </row>
    <row r="74" spans="1:12" x14ac:dyDescent="0.25">
      <c r="F74" s="286" t="s">
        <v>2</v>
      </c>
      <c r="G74" s="295">
        <f>G73*H73</f>
        <v>58.48</v>
      </c>
      <c r="H74" s="292" t="s">
        <v>99</v>
      </c>
    </row>
    <row r="75" spans="1:12" ht="15" customHeight="1" x14ac:dyDescent="0.25">
      <c r="B75" s="431" t="s">
        <v>618</v>
      </c>
      <c r="C75" s="431"/>
      <c r="D75" s="431"/>
      <c r="E75" s="431"/>
      <c r="F75" s="428" t="s">
        <v>2</v>
      </c>
      <c r="G75" s="61">
        <f>3</f>
        <v>3</v>
      </c>
      <c r="H75" s="675">
        <f>G74</f>
        <v>58.48</v>
      </c>
      <c r="I75" s="676">
        <f>G75*G74/G76</f>
        <v>0.17543999999999998</v>
      </c>
      <c r="J75" s="676"/>
      <c r="K75" s="480" t="s">
        <v>99</v>
      </c>
    </row>
    <row r="76" spans="1:12" x14ac:dyDescent="0.25">
      <c r="B76" s="431"/>
      <c r="C76" s="431"/>
      <c r="D76" s="431"/>
      <c r="E76" s="431"/>
      <c r="F76" s="428"/>
      <c r="G76" s="288">
        <v>1000</v>
      </c>
      <c r="H76" s="675"/>
      <c r="I76" s="676"/>
      <c r="J76" s="676"/>
      <c r="K76" s="480"/>
    </row>
    <row r="77" spans="1:12" x14ac:dyDescent="0.25">
      <c r="I77" s="674">
        <f>I75*10000</f>
        <v>1754.3999999999999</v>
      </c>
      <c r="J77" s="674"/>
      <c r="K77" s="296" t="s">
        <v>99</v>
      </c>
    </row>
    <row r="78" spans="1:12" x14ac:dyDescent="0.25">
      <c r="B78" s="431" t="s">
        <v>619</v>
      </c>
      <c r="C78" s="431"/>
      <c r="D78" s="431"/>
      <c r="E78" s="431"/>
      <c r="F78" s="260" t="s">
        <v>2</v>
      </c>
      <c r="G78" s="329">
        <f>3</f>
        <v>3</v>
      </c>
      <c r="H78" s="431" t="s">
        <v>620</v>
      </c>
      <c r="I78" s="431"/>
      <c r="J78" s="431"/>
      <c r="K78" s="296"/>
    </row>
    <row r="79" spans="1:12" x14ac:dyDescent="0.25">
      <c r="F79" s="286" t="s">
        <v>2</v>
      </c>
      <c r="G79" s="330">
        <f>G78</f>
        <v>3</v>
      </c>
      <c r="H79" s="334">
        <f>I77</f>
        <v>1754.3999999999999</v>
      </c>
      <c r="I79" s="674">
        <f>G79*H79</f>
        <v>5263.2</v>
      </c>
      <c r="J79" s="674"/>
      <c r="K79" s="296" t="s">
        <v>99</v>
      </c>
    </row>
    <row r="80" spans="1:12" x14ac:dyDescent="0.25">
      <c r="B80" s="431" t="s">
        <v>621</v>
      </c>
      <c r="C80" s="431"/>
      <c r="D80" s="431"/>
      <c r="E80" s="431"/>
      <c r="F80" s="286" t="s">
        <v>2</v>
      </c>
      <c r="G80" s="329">
        <f>2</f>
        <v>2</v>
      </c>
      <c r="H80" s="431" t="s">
        <v>622</v>
      </c>
      <c r="I80" s="431"/>
      <c r="J80" s="431"/>
    </row>
    <row r="81" spans="2:13" x14ac:dyDescent="0.25">
      <c r="F81" s="286" t="s">
        <v>2</v>
      </c>
      <c r="G81" s="330">
        <f>G80</f>
        <v>2</v>
      </c>
      <c r="H81" s="334">
        <f>I79</f>
        <v>5263.2</v>
      </c>
      <c r="I81" s="674">
        <f>G81*H81</f>
        <v>10526.4</v>
      </c>
      <c r="J81" s="674"/>
      <c r="K81" s="296" t="s">
        <v>99</v>
      </c>
    </row>
    <row r="82" spans="2:13" x14ac:dyDescent="0.25">
      <c r="B82" s="431" t="s">
        <v>623</v>
      </c>
      <c r="C82" s="431"/>
      <c r="D82" s="431"/>
      <c r="E82" s="431"/>
      <c r="F82" s="286" t="s">
        <v>2</v>
      </c>
      <c r="G82" s="336">
        <f>I81</f>
        <v>10526.4</v>
      </c>
      <c r="H82" s="335">
        <f>4</f>
        <v>4</v>
      </c>
      <c r="I82" s="681">
        <f>(G82*H82/3.14)^(0.5)</f>
        <v>115.7990792346483</v>
      </c>
      <c r="J82" s="681"/>
    </row>
    <row r="83" spans="2:13" x14ac:dyDescent="0.25">
      <c r="G83" s="287" t="s">
        <v>101</v>
      </c>
      <c r="I83" s="681"/>
      <c r="J83" s="681"/>
    </row>
    <row r="84" spans="2:13" x14ac:dyDescent="0.25">
      <c r="B84" s="428" t="s">
        <v>624</v>
      </c>
      <c r="C84" s="428"/>
      <c r="D84" s="428"/>
      <c r="E84" s="428"/>
      <c r="F84" s="680">
        <f>100</f>
        <v>100</v>
      </c>
      <c r="G84" s="680"/>
    </row>
    <row r="85" spans="2:13" x14ac:dyDescent="0.25">
      <c r="B85" s="431" t="s">
        <v>625</v>
      </c>
      <c r="C85" s="431"/>
      <c r="D85" s="431"/>
      <c r="E85" s="431"/>
      <c r="F85" s="260" t="s">
        <v>2</v>
      </c>
      <c r="G85" s="338">
        <f>20</f>
        <v>20</v>
      </c>
    </row>
    <row r="86" spans="2:13" ht="15" customHeight="1" x14ac:dyDescent="0.25">
      <c r="B86" s="431" t="s">
        <v>626</v>
      </c>
      <c r="C86" s="431"/>
      <c r="D86" s="431"/>
      <c r="E86" s="431"/>
      <c r="F86" s="428" t="s">
        <v>2</v>
      </c>
      <c r="G86" s="301">
        <f>G73</f>
        <v>8.6</v>
      </c>
      <c r="H86" s="339">
        <f>F84</f>
        <v>100</v>
      </c>
      <c r="I86" s="682">
        <f>G86*H86/G87</f>
        <v>43</v>
      </c>
      <c r="J86" s="682"/>
      <c r="K86" s="682"/>
    </row>
    <row r="87" spans="2:13" x14ac:dyDescent="0.25">
      <c r="B87" s="431"/>
      <c r="C87" s="431"/>
      <c r="D87" s="431"/>
      <c r="E87" s="431"/>
      <c r="F87" s="428"/>
      <c r="G87" s="428">
        <f>20</f>
        <v>20</v>
      </c>
      <c r="H87" s="428"/>
      <c r="I87" s="682"/>
      <c r="J87" s="682"/>
      <c r="K87" s="682"/>
    </row>
    <row r="88" spans="2:13" x14ac:dyDescent="0.25">
      <c r="E88" s="428" t="s">
        <v>176</v>
      </c>
      <c r="F88" s="428" t="s">
        <v>2</v>
      </c>
      <c r="G88" s="373">
        <f>61.2</f>
        <v>61.2</v>
      </c>
      <c r="H88" s="43">
        <v>4</v>
      </c>
      <c r="I88" s="683">
        <f>(G88*H88/3.14)^(0.5)</f>
        <v>8.8295970145579386</v>
      </c>
      <c r="J88" s="684">
        <f>90</f>
        <v>90</v>
      </c>
      <c r="K88" s="684"/>
      <c r="M88" s="260">
        <f>(61.2*4/3.14)^0.5</f>
        <v>8.8295970145579386</v>
      </c>
    </row>
    <row r="89" spans="2:13" x14ac:dyDescent="0.25">
      <c r="E89" s="428"/>
      <c r="F89" s="428"/>
      <c r="G89" s="428" t="s">
        <v>101</v>
      </c>
      <c r="H89" s="428"/>
      <c r="I89" s="683"/>
      <c r="J89" s="684"/>
      <c r="K89" s="684"/>
    </row>
    <row r="90" spans="2:13" s="340" customFormat="1" x14ac:dyDescent="0.25">
      <c r="B90" s="430" t="s">
        <v>627</v>
      </c>
      <c r="C90" s="430"/>
      <c r="D90" s="430"/>
      <c r="E90" s="430"/>
      <c r="F90" s="430"/>
      <c r="G90" s="345">
        <f>2*I86</f>
        <v>86</v>
      </c>
      <c r="H90" s="289"/>
      <c r="I90" s="337"/>
      <c r="J90" s="344"/>
      <c r="K90" s="344"/>
    </row>
    <row r="91" spans="2:13" ht="15" customHeight="1" x14ac:dyDescent="0.25">
      <c r="H91" s="260"/>
    </row>
    <row r="92" spans="2:13" s="340" customFormat="1" ht="15" customHeight="1" x14ac:dyDescent="0.25">
      <c r="B92" s="299"/>
      <c r="C92" s="299"/>
      <c r="D92" s="299"/>
      <c r="E92" s="299"/>
      <c r="F92" s="299"/>
      <c r="G92" s="345"/>
      <c r="H92" s="300"/>
    </row>
    <row r="93" spans="2:13" ht="15" customHeight="1" x14ac:dyDescent="0.25">
      <c r="B93" s="428" t="s">
        <v>628</v>
      </c>
      <c r="C93" s="428"/>
      <c r="D93" s="428"/>
      <c r="E93" s="428"/>
      <c r="F93" s="428"/>
      <c r="G93" s="428"/>
      <c r="H93" s="428"/>
      <c r="I93" s="428"/>
      <c r="J93" s="77"/>
    </row>
    <row r="94" spans="2:13" x14ac:dyDescent="0.25">
      <c r="E94" s="312">
        <v>2</v>
      </c>
      <c r="G94" s="298">
        <v>2</v>
      </c>
    </row>
    <row r="95" spans="2:13" x14ac:dyDescent="0.25">
      <c r="D95" s="347" t="s">
        <v>707</v>
      </c>
      <c r="E95" s="358">
        <f>H73</f>
        <v>6.8</v>
      </c>
      <c r="F95" s="348">
        <v>1</v>
      </c>
      <c r="G95" s="356">
        <f>F84/100</f>
        <v>1</v>
      </c>
      <c r="H95" s="357">
        <f>E95/D96-G95/F96</f>
        <v>2.9</v>
      </c>
    </row>
    <row r="96" spans="2:13" x14ac:dyDescent="0.25">
      <c r="D96" s="340">
        <f>E94</f>
        <v>2</v>
      </c>
      <c r="F96" s="260">
        <f>G94</f>
        <v>2</v>
      </c>
    </row>
    <row r="97" spans="2:13" x14ac:dyDescent="0.25">
      <c r="B97" s="428" t="s">
        <v>630</v>
      </c>
      <c r="C97" s="428"/>
      <c r="D97" s="428"/>
      <c r="E97" s="428"/>
      <c r="F97" s="649">
        <f>G26</f>
        <v>13</v>
      </c>
      <c r="G97" s="649"/>
      <c r="H97" s="649"/>
      <c r="M97" s="260">
        <f>1754.4*4/(3.14*1.3*1.3)</f>
        <v>1322.4286737270565</v>
      </c>
    </row>
    <row r="98" spans="2:13" x14ac:dyDescent="0.25">
      <c r="C98" s="430" t="s">
        <v>618</v>
      </c>
      <c r="D98" s="430"/>
      <c r="E98" s="430"/>
      <c r="F98" s="260" t="s">
        <v>168</v>
      </c>
      <c r="G98" s="355" t="s">
        <v>631</v>
      </c>
      <c r="H98" s="359">
        <f>F97/10</f>
        <v>1.3</v>
      </c>
      <c r="I98" s="303" t="s">
        <v>632</v>
      </c>
      <c r="J98" s="661">
        <f>I77</f>
        <v>1754.3999999999999</v>
      </c>
      <c r="K98" s="661"/>
    </row>
    <row r="99" spans="2:13" x14ac:dyDescent="0.25">
      <c r="G99" s="343">
        <f>4</f>
        <v>4</v>
      </c>
    </row>
    <row r="100" spans="2:13" x14ac:dyDescent="0.25">
      <c r="E100" s="299" t="s">
        <v>633</v>
      </c>
      <c r="F100" s="260" t="s">
        <v>2</v>
      </c>
      <c r="G100" s="260">
        <f>ROUND((J98*G99/(3.14*H98*H98)),2)</f>
        <v>1322.43</v>
      </c>
      <c r="H100" s="360">
        <f>1322</f>
        <v>1322</v>
      </c>
    </row>
    <row r="101" spans="2:13" ht="15" customHeight="1" x14ac:dyDescent="0.25">
      <c r="C101" s="428" t="s">
        <v>634</v>
      </c>
      <c r="D101" s="428"/>
      <c r="E101" s="428"/>
      <c r="F101" s="428" t="s">
        <v>2</v>
      </c>
      <c r="G101" s="361">
        <f>H100</f>
        <v>1322</v>
      </c>
      <c r="H101" s="662">
        <f>G101/G102</f>
        <v>15.372093023255815</v>
      </c>
      <c r="I101" s="656">
        <f>16</f>
        <v>16</v>
      </c>
    </row>
    <row r="102" spans="2:13" x14ac:dyDescent="0.25">
      <c r="C102" s="428"/>
      <c r="D102" s="428"/>
      <c r="E102" s="428"/>
      <c r="F102" s="428"/>
      <c r="G102" s="307">
        <f>G90</f>
        <v>86</v>
      </c>
      <c r="H102" s="662"/>
      <c r="I102" s="656"/>
    </row>
    <row r="103" spans="2:13" ht="15" customHeight="1" x14ac:dyDescent="0.25">
      <c r="D103" s="428" t="s">
        <v>635</v>
      </c>
      <c r="E103" s="428"/>
      <c r="F103" s="428" t="s">
        <v>2</v>
      </c>
      <c r="G103" s="197">
        <f>H95</f>
        <v>2.9</v>
      </c>
      <c r="H103" s="362">
        <f>100</f>
        <v>100</v>
      </c>
      <c r="I103" s="657">
        <f>G103*H103/H104</f>
        <v>18.125</v>
      </c>
      <c r="J103" s="657"/>
      <c r="K103" s="657"/>
    </row>
    <row r="104" spans="2:13" x14ac:dyDescent="0.25">
      <c r="C104" s="363"/>
      <c r="D104" s="428"/>
      <c r="E104" s="428"/>
      <c r="F104" s="428"/>
      <c r="H104" s="313">
        <f>I101</f>
        <v>16</v>
      </c>
      <c r="I104" s="657"/>
      <c r="J104" s="657"/>
      <c r="K104" s="657"/>
    </row>
    <row r="105" spans="2:13" s="380" customFormat="1" x14ac:dyDescent="0.25">
      <c r="C105" s="363"/>
      <c r="H105" s="351"/>
      <c r="I105" s="660">
        <f>180</f>
        <v>180</v>
      </c>
      <c r="J105" s="660"/>
      <c r="K105" s="660"/>
    </row>
    <row r="106" spans="2:13" x14ac:dyDescent="0.25">
      <c r="C106" s="366">
        <f>I101</f>
        <v>16</v>
      </c>
      <c r="D106" s="658">
        <f>F97</f>
        <v>13</v>
      </c>
      <c r="E106" s="658"/>
      <c r="F106" s="658"/>
      <c r="G106" s="658"/>
      <c r="H106" s="659">
        <f>I105</f>
        <v>180</v>
      </c>
      <c r="I106" s="659"/>
    </row>
    <row r="108" spans="2:13" x14ac:dyDescent="0.25">
      <c r="B108" s="476" t="s">
        <v>636</v>
      </c>
      <c r="C108" s="476"/>
      <c r="D108" s="476"/>
      <c r="E108" s="476"/>
    </row>
    <row r="109" spans="2:13" x14ac:dyDescent="0.25">
      <c r="B109" s="346"/>
      <c r="C109" s="430" t="s">
        <v>637</v>
      </c>
      <c r="D109" s="430"/>
      <c r="E109" s="430"/>
      <c r="F109" s="260" t="s">
        <v>2</v>
      </c>
      <c r="G109" s="314">
        <f>36</f>
        <v>36</v>
      </c>
      <c r="H109" s="431" t="s">
        <v>638</v>
      </c>
      <c r="I109" s="431"/>
    </row>
    <row r="110" spans="2:13" x14ac:dyDescent="0.25">
      <c r="B110" s="430" t="s">
        <v>639</v>
      </c>
      <c r="C110" s="430"/>
      <c r="D110" s="430"/>
      <c r="E110" s="430"/>
      <c r="F110" s="311" t="s">
        <v>2</v>
      </c>
      <c r="G110" s="368">
        <f>G109</f>
        <v>36</v>
      </c>
      <c r="H110" s="367">
        <f>G74</f>
        <v>58.48</v>
      </c>
      <c r="I110" s="176">
        <f>G110*H110</f>
        <v>2105.2799999999997</v>
      </c>
      <c r="J110" s="431" t="s">
        <v>640</v>
      </c>
      <c r="K110" s="431"/>
    </row>
    <row r="111" spans="2:13" ht="15" customHeight="1" x14ac:dyDescent="0.25">
      <c r="F111" s="311" t="s">
        <v>2</v>
      </c>
      <c r="G111" s="370">
        <f>I110/(60*60)</f>
        <v>0.58479999999999988</v>
      </c>
      <c r="H111" s="239" t="s">
        <v>641</v>
      </c>
      <c r="I111" s="239"/>
    </row>
    <row r="112" spans="2:13" x14ac:dyDescent="0.25">
      <c r="B112" s="428" t="s">
        <v>642</v>
      </c>
      <c r="C112" s="428"/>
      <c r="D112" s="371">
        <f>1.8</f>
        <v>1.8</v>
      </c>
      <c r="E112" s="431" t="s">
        <v>643</v>
      </c>
      <c r="F112" s="431"/>
      <c r="G112" s="431"/>
      <c r="H112" s="431"/>
      <c r="I112" s="431"/>
      <c r="J112" s="431"/>
      <c r="K112" s="431"/>
    </row>
    <row r="113" spans="2:11" x14ac:dyDescent="0.25">
      <c r="B113" s="654" t="s">
        <v>644</v>
      </c>
      <c r="C113" s="654"/>
      <c r="D113" s="654"/>
    </row>
    <row r="114" spans="2:11" ht="15" customHeight="1" x14ac:dyDescent="0.25">
      <c r="D114" s="428" t="s">
        <v>645</v>
      </c>
      <c r="E114" s="428"/>
      <c r="F114" s="428" t="s">
        <v>2</v>
      </c>
      <c r="G114" s="361">
        <f>H73</f>
        <v>6.8</v>
      </c>
      <c r="H114" s="655">
        <f>ROUND(G114/G115,2)</f>
        <v>3.78</v>
      </c>
      <c r="I114" s="656">
        <f>4</f>
        <v>4</v>
      </c>
    </row>
    <row r="115" spans="2:11" x14ac:dyDescent="0.25">
      <c r="D115" s="428"/>
      <c r="E115" s="428"/>
      <c r="F115" s="428"/>
      <c r="G115" s="307">
        <f>D112</f>
        <v>1.8</v>
      </c>
      <c r="H115" s="655"/>
      <c r="I115" s="656"/>
    </row>
    <row r="116" spans="2:11" ht="15" customHeight="1" x14ac:dyDescent="0.25">
      <c r="C116" s="428" t="s">
        <v>661</v>
      </c>
      <c r="D116" s="428"/>
      <c r="E116" s="428"/>
      <c r="F116" s="428" t="s">
        <v>2</v>
      </c>
      <c r="G116" s="372">
        <f>G111</f>
        <v>0.58479999999999988</v>
      </c>
      <c r="H116" s="652">
        <f>G116/G117</f>
        <v>0.14619999999999997</v>
      </c>
      <c r="I116" s="653" t="s">
        <v>646</v>
      </c>
    </row>
    <row r="117" spans="2:11" x14ac:dyDescent="0.25">
      <c r="C117" s="428"/>
      <c r="D117" s="428"/>
      <c r="E117" s="428"/>
      <c r="F117" s="428"/>
      <c r="G117" s="307">
        <f>I114</f>
        <v>4</v>
      </c>
      <c r="H117" s="652"/>
      <c r="I117" s="653"/>
    </row>
    <row r="118" spans="2:11" ht="15" customHeight="1" x14ac:dyDescent="0.25">
      <c r="B118" s="430" t="s">
        <v>647</v>
      </c>
      <c r="C118" s="430"/>
      <c r="D118" s="305">
        <f>0.4</f>
        <v>0.4</v>
      </c>
      <c r="E118" s="431" t="s">
        <v>648</v>
      </c>
      <c r="F118" s="431"/>
      <c r="G118" s="431"/>
      <c r="H118" s="431"/>
      <c r="I118" s="431"/>
    </row>
    <row r="121" spans="2:11" ht="16.5" x14ac:dyDescent="0.25">
      <c r="E121" s="418">
        <f>H116</f>
        <v>0.14619999999999997</v>
      </c>
      <c r="F121" s="260" t="s">
        <v>2</v>
      </c>
      <c r="G121" s="374">
        <f>1.376</f>
        <v>1.3759999999999999</v>
      </c>
      <c r="H121" s="375">
        <f>D118</f>
        <v>0.4</v>
      </c>
      <c r="I121" s="9" t="s">
        <v>649</v>
      </c>
    </row>
    <row r="122" spans="2:11" ht="16.5" x14ac:dyDescent="0.25">
      <c r="E122" s="428" t="s">
        <v>650</v>
      </c>
      <c r="F122" s="428" t="s">
        <v>2</v>
      </c>
      <c r="G122" s="372">
        <f>E121</f>
        <v>0.14619999999999997</v>
      </c>
      <c r="H122" s="377" t="s">
        <v>651</v>
      </c>
      <c r="I122" s="648">
        <f>ROUND((G122/(G123*H123))^(2/3),2)</f>
        <v>0.41</v>
      </c>
      <c r="J122" s="651">
        <f>0.5</f>
        <v>0.5</v>
      </c>
      <c r="K122" s="651"/>
    </row>
    <row r="123" spans="2:11" x14ac:dyDescent="0.25">
      <c r="E123" s="428"/>
      <c r="F123" s="428"/>
      <c r="G123" s="376">
        <f>G121</f>
        <v>1.3759999999999999</v>
      </c>
      <c r="H123" s="200">
        <f>H121</f>
        <v>0.4</v>
      </c>
      <c r="I123" s="648"/>
      <c r="J123" s="651"/>
      <c r="K123" s="651"/>
    </row>
    <row r="124" spans="2:11" x14ac:dyDescent="0.25">
      <c r="E124" s="260" t="s">
        <v>652</v>
      </c>
      <c r="F124" s="260" t="s">
        <v>2</v>
      </c>
      <c r="G124" s="79">
        <v>0.1</v>
      </c>
    </row>
    <row r="125" spans="2:11" x14ac:dyDescent="0.25">
      <c r="B125" s="260" t="s">
        <v>430</v>
      </c>
      <c r="C125" s="307">
        <f>G117</f>
        <v>4</v>
      </c>
      <c r="D125" s="260" t="s">
        <v>653</v>
      </c>
      <c r="E125" s="306">
        <f>G124+D118-0.01</f>
        <v>0.49</v>
      </c>
      <c r="F125" s="428" t="s">
        <v>654</v>
      </c>
      <c r="G125" s="428"/>
      <c r="H125" s="39">
        <f>J122</f>
        <v>0.5</v>
      </c>
      <c r="I125" s="431" t="s">
        <v>655</v>
      </c>
      <c r="J125" s="431"/>
      <c r="K125" s="431"/>
    </row>
    <row r="127" spans="2:11" x14ac:dyDescent="0.25">
      <c r="B127" s="460" t="s">
        <v>656</v>
      </c>
      <c r="C127" s="460"/>
      <c r="D127" s="460"/>
    </row>
    <row r="128" spans="2:11" ht="15" customHeight="1" x14ac:dyDescent="0.25">
      <c r="B128" s="428" t="s">
        <v>657</v>
      </c>
      <c r="C128" s="428"/>
      <c r="D128" s="428"/>
      <c r="E128" s="428"/>
      <c r="F128" s="428"/>
      <c r="G128" s="428"/>
      <c r="H128" s="428"/>
      <c r="I128" s="428"/>
      <c r="J128" s="428"/>
    </row>
    <row r="129" spans="2:10" x14ac:dyDescent="0.25">
      <c r="D129" s="299" t="s">
        <v>2</v>
      </c>
      <c r="E129" s="381">
        <f>900</f>
        <v>900</v>
      </c>
      <c r="F129" s="647" t="str">
        <f>""&amp;D70*10&amp;" + "&amp;G60*10&amp;" + "</f>
        <v xml:space="preserve">500 + 600 + </v>
      </c>
      <c r="G129" s="647"/>
      <c r="H129" s="160">
        <f>2200</f>
        <v>2200</v>
      </c>
      <c r="I129" s="382">
        <f>300</f>
        <v>300</v>
      </c>
    </row>
    <row r="130" spans="2:10" x14ac:dyDescent="0.25">
      <c r="D130" s="299" t="s">
        <v>2</v>
      </c>
      <c r="E130" s="383">
        <f>E129+H129+I129+D70*10+G60*10</f>
        <v>4500</v>
      </c>
    </row>
    <row r="131" spans="2:10" x14ac:dyDescent="0.25">
      <c r="B131" s="460" t="s">
        <v>662</v>
      </c>
      <c r="C131" s="460"/>
      <c r="D131" s="460"/>
    </row>
    <row r="132" spans="2:10" x14ac:dyDescent="0.25">
      <c r="B132" s="428" t="s">
        <v>663</v>
      </c>
      <c r="C132" s="428"/>
      <c r="D132" s="428"/>
      <c r="E132" s="428"/>
      <c r="F132" s="260" t="s">
        <v>2</v>
      </c>
      <c r="G132" s="369">
        <f>1.5</f>
        <v>1.5</v>
      </c>
      <c r="H132" s="431" t="s">
        <v>664</v>
      </c>
      <c r="I132" s="431"/>
    </row>
    <row r="133" spans="2:10" x14ac:dyDescent="0.25">
      <c r="C133" s="428" t="s">
        <v>665</v>
      </c>
      <c r="D133" s="428"/>
      <c r="E133" s="428"/>
      <c r="F133" s="364" t="s">
        <v>2</v>
      </c>
      <c r="G133" s="384">
        <f>3</f>
        <v>3</v>
      </c>
    </row>
    <row r="134" spans="2:10" x14ac:dyDescent="0.25">
      <c r="B134" s="428" t="s">
        <v>666</v>
      </c>
      <c r="C134" s="428"/>
      <c r="D134" s="428"/>
      <c r="E134" s="428"/>
      <c r="F134" s="364" t="s">
        <v>2</v>
      </c>
      <c r="G134" s="386">
        <f>G132</f>
        <v>1.5</v>
      </c>
      <c r="H134" s="385">
        <f>G133</f>
        <v>3</v>
      </c>
      <c r="I134" s="385">
        <f>H43</f>
        <v>8.6</v>
      </c>
      <c r="J134" s="313">
        <f>I43</f>
        <v>6.8</v>
      </c>
    </row>
    <row r="135" spans="2:10" x14ac:dyDescent="0.25">
      <c r="F135" s="364" t="s">
        <v>2</v>
      </c>
      <c r="G135" s="308">
        <f>G134*H134*I134*J134</f>
        <v>263.15999999999997</v>
      </c>
      <c r="H135" s="303" t="s">
        <v>97</v>
      </c>
    </row>
    <row r="136" spans="2:10" x14ac:dyDescent="0.25">
      <c r="B136" s="438" t="s">
        <v>129</v>
      </c>
      <c r="C136" s="438"/>
      <c r="D136" s="364"/>
      <c r="E136" s="364"/>
      <c r="F136" s="364"/>
      <c r="G136" s="364"/>
      <c r="H136" s="364"/>
      <c r="I136" s="364"/>
      <c r="J136" s="364"/>
    </row>
    <row r="137" spans="2:10" x14ac:dyDescent="0.25">
      <c r="B137" s="302" t="s">
        <v>21</v>
      </c>
      <c r="C137" s="461" t="s">
        <v>58</v>
      </c>
      <c r="D137" s="461"/>
      <c r="E137" s="461"/>
      <c r="F137" s="461"/>
      <c r="G137" s="461"/>
      <c r="H137" s="461" t="s">
        <v>79</v>
      </c>
      <c r="I137" s="461"/>
      <c r="J137" s="461"/>
    </row>
    <row r="138" spans="2:10" x14ac:dyDescent="0.25">
      <c r="B138" s="310">
        <v>1</v>
      </c>
      <c r="C138" s="440" t="s">
        <v>667</v>
      </c>
      <c r="D138" s="440"/>
      <c r="E138" s="440"/>
      <c r="F138" s="440"/>
      <c r="G138" s="440"/>
      <c r="H138" s="632">
        <f>C35</f>
        <v>2</v>
      </c>
      <c r="I138" s="440"/>
      <c r="J138" s="440"/>
    </row>
    <row r="139" spans="2:10" x14ac:dyDescent="0.25">
      <c r="B139" s="310">
        <v>2</v>
      </c>
      <c r="C139" s="440" t="s">
        <v>668</v>
      </c>
      <c r="D139" s="440"/>
      <c r="E139" s="440"/>
      <c r="F139" s="440"/>
      <c r="G139" s="440"/>
      <c r="H139" s="389">
        <f>H43</f>
        <v>8.6</v>
      </c>
      <c r="I139" s="390">
        <f>I43</f>
        <v>6.8</v>
      </c>
      <c r="J139" s="274"/>
    </row>
    <row r="140" spans="2:10" x14ac:dyDescent="0.25">
      <c r="B140" s="310">
        <v>3</v>
      </c>
      <c r="C140" s="440" t="s">
        <v>669</v>
      </c>
      <c r="D140" s="440"/>
      <c r="E140" s="440"/>
      <c r="F140" s="440"/>
      <c r="G140" s="440"/>
      <c r="H140" s="643">
        <f>G60</f>
        <v>60</v>
      </c>
      <c r="I140" s="643"/>
      <c r="J140" s="643"/>
    </row>
    <row r="141" spans="2:10" x14ac:dyDescent="0.25">
      <c r="B141" s="310">
        <v>4</v>
      </c>
      <c r="C141" s="440" t="s">
        <v>670</v>
      </c>
      <c r="D141" s="440"/>
      <c r="E141" s="440"/>
      <c r="F141" s="440"/>
      <c r="G141" s="440"/>
      <c r="H141" s="643">
        <f>D70</f>
        <v>50</v>
      </c>
      <c r="I141" s="643"/>
      <c r="J141" s="643"/>
    </row>
    <row r="142" spans="2:10" ht="15" customHeight="1" x14ac:dyDescent="0.25">
      <c r="B142" s="310">
        <v>5</v>
      </c>
      <c r="C142" s="441" t="s">
        <v>671</v>
      </c>
      <c r="D142" s="514"/>
      <c r="E142" s="514"/>
      <c r="F142" s="514"/>
      <c r="G142" s="444"/>
      <c r="H142" s="641">
        <f>G26</f>
        <v>13</v>
      </c>
      <c r="I142" s="641"/>
      <c r="J142" s="641"/>
    </row>
    <row r="143" spans="2:10" x14ac:dyDescent="0.25">
      <c r="B143" s="310">
        <v>6</v>
      </c>
      <c r="C143" s="440" t="s">
        <v>672</v>
      </c>
      <c r="D143" s="440"/>
      <c r="E143" s="440"/>
      <c r="F143" s="440"/>
      <c r="G143" s="440"/>
      <c r="H143" s="644">
        <f>F84</f>
        <v>100</v>
      </c>
      <c r="I143" s="644"/>
      <c r="J143" s="644"/>
    </row>
    <row r="144" spans="2:10" x14ac:dyDescent="0.25">
      <c r="B144" s="310">
        <v>7</v>
      </c>
      <c r="C144" s="440" t="s">
        <v>673</v>
      </c>
      <c r="D144" s="440"/>
      <c r="E144" s="440"/>
      <c r="F144" s="440"/>
      <c r="G144" s="440"/>
      <c r="H144" s="645">
        <f>G85</f>
        <v>20</v>
      </c>
      <c r="I144" s="440"/>
      <c r="J144" s="440"/>
    </row>
    <row r="145" spans="2:10" x14ac:dyDescent="0.25">
      <c r="B145" s="310">
        <v>8</v>
      </c>
      <c r="C145" s="440" t="s">
        <v>674</v>
      </c>
      <c r="D145" s="440"/>
      <c r="E145" s="440"/>
      <c r="F145" s="440"/>
      <c r="G145" s="440"/>
      <c r="H145" s="646">
        <f>G90</f>
        <v>86</v>
      </c>
      <c r="I145" s="646"/>
      <c r="J145" s="646"/>
    </row>
    <row r="146" spans="2:10" x14ac:dyDescent="0.25">
      <c r="B146" s="310">
        <v>9</v>
      </c>
      <c r="C146" s="440" t="s">
        <v>675</v>
      </c>
      <c r="D146" s="440"/>
      <c r="E146" s="440"/>
      <c r="F146" s="440"/>
      <c r="G146" s="440"/>
      <c r="H146" s="641">
        <f>J88</f>
        <v>90</v>
      </c>
      <c r="I146" s="641"/>
      <c r="J146" s="641"/>
    </row>
    <row r="147" spans="2:10" x14ac:dyDescent="0.25">
      <c r="B147" s="310">
        <v>10</v>
      </c>
      <c r="C147" s="440" t="s">
        <v>676</v>
      </c>
      <c r="D147" s="440"/>
      <c r="E147" s="440"/>
      <c r="F147" s="440"/>
      <c r="G147" s="440"/>
      <c r="H147" s="642">
        <f>I101</f>
        <v>16</v>
      </c>
      <c r="I147" s="642"/>
      <c r="J147" s="642"/>
    </row>
    <row r="148" spans="2:10" x14ac:dyDescent="0.25">
      <c r="B148" s="310">
        <v>11</v>
      </c>
      <c r="C148" s="440" t="s">
        <v>677</v>
      </c>
      <c r="D148" s="440"/>
      <c r="E148" s="440"/>
      <c r="F148" s="440"/>
      <c r="G148" s="440"/>
      <c r="H148" s="642">
        <f>I114</f>
        <v>4</v>
      </c>
      <c r="I148" s="642"/>
      <c r="J148" s="642"/>
    </row>
    <row r="149" spans="2:10" x14ac:dyDescent="0.25">
      <c r="B149" s="310">
        <v>12</v>
      </c>
      <c r="C149" s="440" t="s">
        <v>678</v>
      </c>
      <c r="D149" s="440"/>
      <c r="E149" s="440"/>
      <c r="F149" s="440"/>
      <c r="G149" s="440"/>
      <c r="H149" s="389">
        <f>D118</f>
        <v>0.4</v>
      </c>
      <c r="I149" s="392">
        <f>E125</f>
        <v>0.49</v>
      </c>
      <c r="J149" s="391"/>
    </row>
    <row r="150" spans="2:10" x14ac:dyDescent="0.25">
      <c r="B150" s="310">
        <v>13</v>
      </c>
      <c r="C150" s="440" t="s">
        <v>679</v>
      </c>
      <c r="D150" s="440"/>
      <c r="E150" s="440"/>
      <c r="F150" s="440"/>
      <c r="G150" s="440"/>
      <c r="H150" s="641">
        <f>E130</f>
        <v>4500</v>
      </c>
      <c r="I150" s="641"/>
      <c r="J150" s="641"/>
    </row>
    <row r="151" spans="2:10" x14ac:dyDescent="0.25">
      <c r="B151" s="310">
        <v>14</v>
      </c>
      <c r="C151" s="440" t="s">
        <v>665</v>
      </c>
      <c r="D151" s="440"/>
      <c r="E151" s="440"/>
      <c r="F151" s="440"/>
      <c r="G151" s="440"/>
      <c r="H151" s="639">
        <f>G133</f>
        <v>3</v>
      </c>
      <c r="I151" s="640"/>
      <c r="J151" s="640"/>
    </row>
    <row r="152" spans="2:10" x14ac:dyDescent="0.25">
      <c r="B152" s="310">
        <v>15</v>
      </c>
      <c r="C152" s="440" t="s">
        <v>680</v>
      </c>
      <c r="D152" s="440"/>
      <c r="E152" s="440"/>
      <c r="F152" s="440"/>
      <c r="G152" s="441"/>
      <c r="H152" s="393"/>
      <c r="I152" s="388">
        <f>G135</f>
        <v>263.15999999999997</v>
      </c>
      <c r="J152" s="394" t="s">
        <v>97</v>
      </c>
    </row>
  </sheetData>
  <mergeCells count="193">
    <mergeCell ref="B90:F90"/>
    <mergeCell ref="B93:I93"/>
    <mergeCell ref="I86:K87"/>
    <mergeCell ref="F86:F87"/>
    <mergeCell ref="B86:E87"/>
    <mergeCell ref="G89:H89"/>
    <mergeCell ref="F88:F89"/>
    <mergeCell ref="E88:E89"/>
    <mergeCell ref="I88:I89"/>
    <mergeCell ref="J88:K89"/>
    <mergeCell ref="B84:E84"/>
    <mergeCell ref="F84:G84"/>
    <mergeCell ref="B85:E85"/>
    <mergeCell ref="G87:H87"/>
    <mergeCell ref="I79:J79"/>
    <mergeCell ref="B80:E80"/>
    <mergeCell ref="H80:J80"/>
    <mergeCell ref="I81:J81"/>
    <mergeCell ref="B82:E82"/>
    <mergeCell ref="I82:J83"/>
    <mergeCell ref="K75:K76"/>
    <mergeCell ref="I77:J77"/>
    <mergeCell ref="B78:E78"/>
    <mergeCell ref="H78:J78"/>
    <mergeCell ref="H75:H76"/>
    <mergeCell ref="F75:F76"/>
    <mergeCell ref="B75:E76"/>
    <mergeCell ref="I75:J76"/>
    <mergeCell ref="F36:F37"/>
    <mergeCell ref="B36:E37"/>
    <mergeCell ref="B72:E72"/>
    <mergeCell ref="B73:E73"/>
    <mergeCell ref="B70:C70"/>
    <mergeCell ref="E70:G70"/>
    <mergeCell ref="B66:D66"/>
    <mergeCell ref="E66:G66"/>
    <mergeCell ref="A68:B68"/>
    <mergeCell ref="A69:B69"/>
    <mergeCell ref="A67:B67"/>
    <mergeCell ref="F67:G67"/>
    <mergeCell ref="F68:G68"/>
    <mergeCell ref="F69:G69"/>
    <mergeCell ref="C51:C52"/>
    <mergeCell ref="B51:B52"/>
    <mergeCell ref="F54:J54"/>
    <mergeCell ref="E55:G55"/>
    <mergeCell ref="D57:E57"/>
    <mergeCell ref="F57:F58"/>
    <mergeCell ref="H57:H58"/>
    <mergeCell ref="E51:J52"/>
    <mergeCell ref="C65:D65"/>
    <mergeCell ref="B62:F62"/>
    <mergeCell ref="B63:D63"/>
    <mergeCell ref="E63:F63"/>
    <mergeCell ref="H63:J63"/>
    <mergeCell ref="C57:C58"/>
    <mergeCell ref="B57:B58"/>
    <mergeCell ref="H59:J59"/>
    <mergeCell ref="B60:F60"/>
    <mergeCell ref="E64:F64"/>
    <mergeCell ref="I5:J5"/>
    <mergeCell ref="H36:H37"/>
    <mergeCell ref="I36:I37"/>
    <mergeCell ref="B9:D9"/>
    <mergeCell ref="B10:E10"/>
    <mergeCell ref="A11:D11"/>
    <mergeCell ref="E11:F11"/>
    <mergeCell ref="B4:E4"/>
    <mergeCell ref="B5:D5"/>
    <mergeCell ref="B6:E6"/>
    <mergeCell ref="G11:I11"/>
    <mergeCell ref="B12:C12"/>
    <mergeCell ref="A13:D13"/>
    <mergeCell ref="B23:E23"/>
    <mergeCell ref="H23:I23"/>
    <mergeCell ref="B24:E24"/>
    <mergeCell ref="B25:E25"/>
    <mergeCell ref="B26:E26"/>
    <mergeCell ref="G25:J25"/>
    <mergeCell ref="B19:D19"/>
    <mergeCell ref="B20:D20"/>
    <mergeCell ref="B21:E21"/>
    <mergeCell ref="H20:I20"/>
    <mergeCell ref="I33:I34"/>
    <mergeCell ref="E13:F13"/>
    <mergeCell ref="B14:E14"/>
    <mergeCell ref="B15:D15"/>
    <mergeCell ref="B16:E16"/>
    <mergeCell ref="B17:D17"/>
    <mergeCell ref="E17:F17"/>
    <mergeCell ref="B22:E22"/>
    <mergeCell ref="G48:H48"/>
    <mergeCell ref="D50:E50"/>
    <mergeCell ref="G50:J50"/>
    <mergeCell ref="B47:D47"/>
    <mergeCell ref="J42:K42"/>
    <mergeCell ref="D43:G43"/>
    <mergeCell ref="H24:I24"/>
    <mergeCell ref="B45:E45"/>
    <mergeCell ref="B46:F46"/>
    <mergeCell ref="J33:J34"/>
    <mergeCell ref="K33:K34"/>
    <mergeCell ref="F39:F40"/>
    <mergeCell ref="G30:I31"/>
    <mergeCell ref="D39:D40"/>
    <mergeCell ref="I125:K125"/>
    <mergeCell ref="B127:D127"/>
    <mergeCell ref="F116:F117"/>
    <mergeCell ref="C116:E117"/>
    <mergeCell ref="H116:H117"/>
    <mergeCell ref="I116:I117"/>
    <mergeCell ref="B118:C118"/>
    <mergeCell ref="E118:I118"/>
    <mergeCell ref="J110:K110"/>
    <mergeCell ref="B112:C112"/>
    <mergeCell ref="E112:K112"/>
    <mergeCell ref="B113:D113"/>
    <mergeCell ref="F114:F115"/>
    <mergeCell ref="D114:E115"/>
    <mergeCell ref="H114:H115"/>
    <mergeCell ref="I114:I115"/>
    <mergeCell ref="B29:E29"/>
    <mergeCell ref="H29:I29"/>
    <mergeCell ref="B30:E30"/>
    <mergeCell ref="B28:E28"/>
    <mergeCell ref="H32:I32"/>
    <mergeCell ref="F33:F34"/>
    <mergeCell ref="B33:D34"/>
    <mergeCell ref="H33:H34"/>
    <mergeCell ref="J122:K123"/>
    <mergeCell ref="I103:K104"/>
    <mergeCell ref="D106:G106"/>
    <mergeCell ref="H106:I106"/>
    <mergeCell ref="B108:E108"/>
    <mergeCell ref="C109:E109"/>
    <mergeCell ref="H109:I109"/>
    <mergeCell ref="F103:F104"/>
    <mergeCell ref="D103:E104"/>
    <mergeCell ref="I105:K105"/>
    <mergeCell ref="J98:K98"/>
    <mergeCell ref="H101:H102"/>
    <mergeCell ref="I101:I102"/>
    <mergeCell ref="F101:F102"/>
    <mergeCell ref="C101:E102"/>
    <mergeCell ref="E53:I53"/>
    <mergeCell ref="C137:G137"/>
    <mergeCell ref="H137:J137"/>
    <mergeCell ref="C138:G138"/>
    <mergeCell ref="H138:J138"/>
    <mergeCell ref="C139:G139"/>
    <mergeCell ref="C140:G140"/>
    <mergeCell ref="H140:J140"/>
    <mergeCell ref="B128:J128"/>
    <mergeCell ref="A7:G7"/>
    <mergeCell ref="F129:G129"/>
    <mergeCell ref="B131:D131"/>
    <mergeCell ref="B132:E132"/>
    <mergeCell ref="H132:I132"/>
    <mergeCell ref="C133:E133"/>
    <mergeCell ref="B134:E134"/>
    <mergeCell ref="F122:F123"/>
    <mergeCell ref="E122:E123"/>
    <mergeCell ref="I122:I123"/>
    <mergeCell ref="F125:G125"/>
    <mergeCell ref="B110:E110"/>
    <mergeCell ref="B97:E97"/>
    <mergeCell ref="F97:H97"/>
    <mergeCell ref="C98:E98"/>
    <mergeCell ref="E39:E40"/>
    <mergeCell ref="B2:K2"/>
    <mergeCell ref="C151:G151"/>
    <mergeCell ref="H151:J151"/>
    <mergeCell ref="C152:G152"/>
    <mergeCell ref="C142:G142"/>
    <mergeCell ref="C146:G146"/>
    <mergeCell ref="H146:J146"/>
    <mergeCell ref="C147:G147"/>
    <mergeCell ref="H147:J147"/>
    <mergeCell ref="C148:G148"/>
    <mergeCell ref="H148:J148"/>
    <mergeCell ref="C149:G149"/>
    <mergeCell ref="C150:G150"/>
    <mergeCell ref="H150:J150"/>
    <mergeCell ref="C141:G141"/>
    <mergeCell ref="H141:J141"/>
    <mergeCell ref="H142:J142"/>
    <mergeCell ref="C143:G143"/>
    <mergeCell ref="H143:J143"/>
    <mergeCell ref="C144:G144"/>
    <mergeCell ref="H144:J144"/>
    <mergeCell ref="C145:G145"/>
    <mergeCell ref="H145:J145"/>
    <mergeCell ref="B136:C136"/>
  </mergeCells>
  <pageMargins left="0.7" right="0.7" top="0.75" bottom="0.75" header="0.3" footer="0.3"/>
  <pageSetup paperSize="9" orientation="portrait" r:id="rId1"/>
  <rowBreaks count="3" manualBreakCount="3">
    <brk id="44" max="10" man="1"/>
    <brk id="91" max="10" man="1"/>
    <brk id="135" max="10" man="1"/>
  </rowBreaks>
  <ignoredErrors>
    <ignoredError sqref="G80" formula="1"/>
  </ignoredErrors>
  <drawing r:id="rId2"/>
  <legacyDrawing r:id="rId3"/>
  <oleObjects>
    <mc:AlternateContent xmlns:mc="http://schemas.openxmlformats.org/markup-compatibility/2006">
      <mc:Choice Requires="x14">
        <oleObject progId="Equation.3" shapeId="19457" r:id="rId4">
          <objectPr defaultSize="0" r:id="rId5">
            <anchor moveWithCells="1">
              <from>
                <xdr:col>4</xdr:col>
                <xdr:colOff>104775</xdr:colOff>
                <xdr:row>118</xdr:row>
                <xdr:rowOff>0</xdr:rowOff>
              </from>
              <to>
                <xdr:col>6</xdr:col>
                <xdr:colOff>409575</xdr:colOff>
                <xdr:row>119</xdr:row>
                <xdr:rowOff>152400</xdr:rowOff>
              </to>
            </anchor>
          </objectPr>
        </oleObject>
      </mc:Choice>
      <mc:Fallback>
        <oleObject progId="Equation.3" shapeId="19457"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7"/>
  <sheetViews>
    <sheetView view="pageBreakPreview" zoomScaleNormal="100" zoomScaleSheetLayoutView="100" workbookViewId="0">
      <selection activeCell="O13" sqref="O13"/>
    </sheetView>
  </sheetViews>
  <sheetFormatPr defaultRowHeight="15" x14ac:dyDescent="0.25"/>
  <cols>
    <col min="1" max="1" width="2.7109375" style="364" bestFit="1" customWidth="1"/>
    <col min="2" max="3" width="9.140625" style="364"/>
    <col min="4" max="4" width="9" style="364" customWidth="1"/>
    <col min="5" max="5" width="9.140625" style="364"/>
    <col min="6" max="6" width="2.140625" style="364" bestFit="1" customWidth="1"/>
    <col min="7" max="7" width="13.42578125" style="364" bestFit="1" customWidth="1"/>
    <col min="8" max="8" width="13.7109375" style="364" bestFit="1" customWidth="1"/>
    <col min="9" max="9" width="6.7109375" style="364" bestFit="1" customWidth="1"/>
    <col min="10" max="10" width="8" style="364" bestFit="1" customWidth="1"/>
    <col min="11" max="16384" width="9.140625" style="364"/>
  </cols>
  <sheetData>
    <row r="2" spans="1:10" ht="15" customHeight="1" x14ac:dyDescent="0.25">
      <c r="B2" s="447" t="s">
        <v>681</v>
      </c>
      <c r="C2" s="448"/>
      <c r="D2" s="448"/>
      <c r="E2" s="448"/>
      <c r="F2" s="448"/>
      <c r="G2" s="448"/>
      <c r="H2" s="448"/>
      <c r="I2" s="448"/>
      <c r="J2" s="449"/>
    </row>
    <row r="3" spans="1:10" x14ac:dyDescent="0.25">
      <c r="A3" s="364" t="s">
        <v>113</v>
      </c>
      <c r="B3" s="438" t="s">
        <v>75</v>
      </c>
      <c r="C3" s="438"/>
      <c r="D3" s="438"/>
    </row>
    <row r="4" spans="1:10" ht="15" customHeight="1" x14ac:dyDescent="0.25">
      <c r="B4" s="428" t="s">
        <v>682</v>
      </c>
      <c r="C4" s="428"/>
      <c r="D4" s="428"/>
      <c r="E4" s="428"/>
      <c r="F4" s="428"/>
      <c r="G4" s="428"/>
      <c r="H4" s="428"/>
      <c r="I4" s="428"/>
    </row>
    <row r="5" spans="1:10" x14ac:dyDescent="0.25">
      <c r="B5" s="428"/>
      <c r="C5" s="428"/>
      <c r="D5" s="428"/>
      <c r="E5" s="428"/>
      <c r="F5" s="428"/>
      <c r="G5" s="428"/>
      <c r="H5" s="428"/>
      <c r="I5" s="428"/>
    </row>
    <row r="6" spans="1:10" x14ac:dyDescent="0.25">
      <c r="B6" s="428"/>
      <c r="C6" s="428"/>
      <c r="D6" s="428"/>
      <c r="E6" s="428"/>
      <c r="F6" s="428"/>
      <c r="G6" s="428"/>
      <c r="H6" s="428"/>
      <c r="I6" s="428"/>
    </row>
    <row r="7" spans="1:10" ht="15" customHeight="1" x14ac:dyDescent="0.25">
      <c r="A7" s="364" t="s">
        <v>116</v>
      </c>
      <c r="B7" s="438" t="s">
        <v>683</v>
      </c>
      <c r="C7" s="438"/>
      <c r="D7" s="438"/>
      <c r="E7" s="438"/>
    </row>
    <row r="8" spans="1:10" x14ac:dyDescent="0.25">
      <c r="B8" s="431" t="s">
        <v>687</v>
      </c>
      <c r="C8" s="431"/>
      <c r="D8" s="431"/>
      <c r="E8" s="431"/>
      <c r="F8" s="364" t="s">
        <v>2</v>
      </c>
      <c r="G8" s="396">
        <f>1.4</f>
        <v>1.4</v>
      </c>
      <c r="H8" s="689" t="s">
        <v>684</v>
      </c>
      <c r="I8" s="689"/>
    </row>
    <row r="9" spans="1:10" x14ac:dyDescent="0.25">
      <c r="F9" s="364" t="s">
        <v>2</v>
      </c>
      <c r="G9" s="395">
        <f>1</f>
        <v>1</v>
      </c>
      <c r="H9" s="689" t="s">
        <v>685</v>
      </c>
      <c r="I9" s="689"/>
    </row>
    <row r="10" spans="1:10" x14ac:dyDescent="0.25">
      <c r="F10" s="364" t="s">
        <v>2</v>
      </c>
      <c r="G10" s="396">
        <f>0.6</f>
        <v>0.6</v>
      </c>
      <c r="H10" s="689" t="s">
        <v>686</v>
      </c>
      <c r="I10" s="689"/>
    </row>
    <row r="11" spans="1:10" x14ac:dyDescent="0.25">
      <c r="B11" s="431" t="s">
        <v>688</v>
      </c>
      <c r="C11" s="431"/>
      <c r="D11" s="431"/>
      <c r="F11" s="364" t="s">
        <v>2</v>
      </c>
      <c r="G11" s="398">
        <f>0.1</f>
        <v>0.1</v>
      </c>
      <c r="H11" s="396">
        <v>0.2</v>
      </c>
      <c r="I11" s="431" t="s">
        <v>689</v>
      </c>
      <c r="J11" s="431"/>
    </row>
    <row r="12" spans="1:10" x14ac:dyDescent="0.25">
      <c r="B12" s="431" t="s">
        <v>690</v>
      </c>
      <c r="C12" s="431"/>
      <c r="D12" s="431"/>
      <c r="F12" s="364" t="s">
        <v>2</v>
      </c>
      <c r="G12" s="397">
        <f>20</f>
        <v>20</v>
      </c>
      <c r="H12" s="277">
        <f>30</f>
        <v>30</v>
      </c>
    </row>
    <row r="14" spans="1:10" ht="15" customHeight="1" x14ac:dyDescent="0.25">
      <c r="A14" s="364" t="s">
        <v>120</v>
      </c>
      <c r="B14" s="438" t="s">
        <v>197</v>
      </c>
      <c r="C14" s="438"/>
      <c r="D14" s="438"/>
    </row>
    <row r="15" spans="1:10" ht="15" customHeight="1" x14ac:dyDescent="0.25">
      <c r="B15" s="428" t="s">
        <v>691</v>
      </c>
      <c r="C15" s="428"/>
      <c r="D15" s="428"/>
      <c r="E15" s="428"/>
      <c r="F15" s="428"/>
      <c r="G15" s="428"/>
      <c r="H15" s="399">
        <f>2</f>
        <v>2</v>
      </c>
    </row>
    <row r="16" spans="1:10" x14ac:dyDescent="0.25">
      <c r="C16" s="428" t="s">
        <v>692</v>
      </c>
      <c r="D16" s="428"/>
      <c r="E16" s="428"/>
      <c r="F16" s="364" t="s">
        <v>2</v>
      </c>
      <c r="G16" s="119">
        <f>13.33</f>
        <v>13.33</v>
      </c>
      <c r="H16" s="165">
        <v>1000000</v>
      </c>
      <c r="I16" s="119">
        <f>G8</f>
        <v>1.4</v>
      </c>
      <c r="J16" s="301">
        <v>1</v>
      </c>
    </row>
    <row r="17" spans="1:10" x14ac:dyDescent="0.25">
      <c r="J17" s="364">
        <f>1000000</f>
        <v>1000000</v>
      </c>
    </row>
    <row r="18" spans="1:10" x14ac:dyDescent="0.25">
      <c r="F18" s="364" t="s">
        <v>2</v>
      </c>
      <c r="G18" s="309">
        <f>G16*H16*I16/J17</f>
        <v>18.661999999999999</v>
      </c>
    </row>
    <row r="19" spans="1:10" x14ac:dyDescent="0.25">
      <c r="C19" s="688">
        <f>6</f>
        <v>6</v>
      </c>
      <c r="D19" s="688"/>
      <c r="E19" s="688"/>
      <c r="F19" s="364" t="s">
        <v>2</v>
      </c>
      <c r="G19" s="250">
        <f>G18</f>
        <v>18.661999999999999</v>
      </c>
      <c r="H19" s="40">
        <f>C19*30</f>
        <v>180</v>
      </c>
      <c r="I19" s="548">
        <f>G19*H19</f>
        <v>3359.16</v>
      </c>
      <c r="J19" s="548"/>
    </row>
    <row r="20" spans="1:10" ht="15" customHeight="1" x14ac:dyDescent="0.25">
      <c r="B20" s="428" t="s">
        <v>693</v>
      </c>
      <c r="C20" s="428"/>
      <c r="D20" s="428" t="s">
        <v>694</v>
      </c>
      <c r="E20" s="428"/>
      <c r="F20" s="428"/>
      <c r="G20" s="400">
        <f>16</f>
        <v>16</v>
      </c>
      <c r="H20" s="401">
        <f>I19</f>
        <v>3359.16</v>
      </c>
      <c r="I20" s="403">
        <f>G22</f>
        <v>2</v>
      </c>
      <c r="J20" s="364">
        <f>H20*I20/I21</f>
        <v>419.89499999999998</v>
      </c>
    </row>
    <row r="21" spans="1:10" s="379" customFormat="1" ht="15" customHeight="1" x14ac:dyDescent="0.25">
      <c r="G21" s="400"/>
      <c r="H21" s="401"/>
      <c r="I21" s="162">
        <f>G20</f>
        <v>16</v>
      </c>
    </row>
    <row r="22" spans="1:10" x14ac:dyDescent="0.25">
      <c r="B22" s="428" t="s">
        <v>695</v>
      </c>
      <c r="C22" s="428"/>
      <c r="D22" s="428"/>
      <c r="E22" s="428"/>
      <c r="F22" s="364" t="s">
        <v>2</v>
      </c>
      <c r="G22" s="404">
        <f>2</f>
        <v>2</v>
      </c>
      <c r="H22" s="402">
        <f>G20</f>
        <v>16</v>
      </c>
    </row>
    <row r="24" spans="1:10" x14ac:dyDescent="0.25">
      <c r="A24" s="364" t="s">
        <v>128</v>
      </c>
      <c r="B24" s="438" t="s">
        <v>129</v>
      </c>
      <c r="C24" s="438"/>
      <c r="D24" s="379"/>
      <c r="E24" s="379"/>
      <c r="F24" s="379"/>
      <c r="G24" s="379"/>
      <c r="H24" s="379"/>
      <c r="I24" s="379"/>
      <c r="J24" s="379"/>
    </row>
    <row r="25" spans="1:10" x14ac:dyDescent="0.25">
      <c r="B25" s="302" t="s">
        <v>21</v>
      </c>
      <c r="C25" s="461" t="s">
        <v>58</v>
      </c>
      <c r="D25" s="461"/>
      <c r="E25" s="461"/>
      <c r="F25" s="461"/>
      <c r="G25" s="461"/>
      <c r="H25" s="461" t="s">
        <v>79</v>
      </c>
      <c r="I25" s="461"/>
      <c r="J25" s="461"/>
    </row>
    <row r="26" spans="1:10" x14ac:dyDescent="0.25">
      <c r="B26" s="310">
        <v>1</v>
      </c>
      <c r="C26" s="440" t="s">
        <v>696</v>
      </c>
      <c r="D26" s="440"/>
      <c r="E26" s="440"/>
      <c r="F26" s="440"/>
      <c r="G26" s="440"/>
      <c r="H26" s="685">
        <f>G18</f>
        <v>18.661999999999999</v>
      </c>
      <c r="I26" s="686"/>
      <c r="J26" s="687"/>
    </row>
    <row r="27" spans="1:10" x14ac:dyDescent="0.25">
      <c r="B27" s="310">
        <v>2</v>
      </c>
      <c r="C27" s="441" t="s">
        <v>697</v>
      </c>
      <c r="D27" s="514"/>
      <c r="E27" s="514"/>
      <c r="F27" s="514"/>
      <c r="G27" s="444"/>
      <c r="H27" s="405">
        <f>G22</f>
        <v>2</v>
      </c>
      <c r="I27" s="390">
        <f>H22</f>
        <v>16</v>
      </c>
      <c r="J27" s="274"/>
    </row>
  </sheetData>
  <mergeCells count="25">
    <mergeCell ref="B11:D11"/>
    <mergeCell ref="I11:J11"/>
    <mergeCell ref="B12:D12"/>
    <mergeCell ref="B14:D14"/>
    <mergeCell ref="B3:D3"/>
    <mergeCell ref="B8:E8"/>
    <mergeCell ref="B4:I6"/>
    <mergeCell ref="H8:I8"/>
    <mergeCell ref="B7:E7"/>
    <mergeCell ref="C27:G27"/>
    <mergeCell ref="B2:J2"/>
    <mergeCell ref="B22:E22"/>
    <mergeCell ref="B24:C24"/>
    <mergeCell ref="C25:G25"/>
    <mergeCell ref="H25:J25"/>
    <mergeCell ref="C26:G26"/>
    <mergeCell ref="H26:J26"/>
    <mergeCell ref="B15:G15"/>
    <mergeCell ref="C16:E16"/>
    <mergeCell ref="C19:E19"/>
    <mergeCell ref="I19:J19"/>
    <mergeCell ref="B20:C20"/>
    <mergeCell ref="D20:F20"/>
    <mergeCell ref="H9:I9"/>
    <mergeCell ref="H10:I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view="pageBreakPreview" zoomScaleNormal="100" zoomScaleSheetLayoutView="100" workbookViewId="0">
      <selection activeCell="M8" sqref="M8"/>
    </sheetView>
  </sheetViews>
  <sheetFormatPr defaultRowHeight="15" x14ac:dyDescent="0.25"/>
  <cols>
    <col min="1" max="1" width="2.5703125" style="1" customWidth="1"/>
    <col min="2" max="2" width="6.42578125" style="1" customWidth="1"/>
    <col min="3" max="3" width="9.140625" style="1" customWidth="1"/>
    <col min="4" max="4" width="9.5703125" style="1" customWidth="1"/>
    <col min="5" max="5" width="9.7109375" style="1" customWidth="1"/>
    <col min="6" max="6" width="11" style="1" customWidth="1"/>
    <col min="7" max="8" width="7.42578125" style="1" customWidth="1"/>
    <col min="9" max="10" width="10" style="1" customWidth="1"/>
    <col min="11" max="11" width="1.85546875" style="1" customWidth="1"/>
    <col min="12" max="16384" width="9.140625" style="1"/>
  </cols>
  <sheetData>
    <row r="2" spans="1:11" ht="15" customHeight="1" x14ac:dyDescent="0.25">
      <c r="A2" s="421"/>
      <c r="B2" s="447" t="s">
        <v>20</v>
      </c>
      <c r="C2" s="448"/>
      <c r="D2" s="448"/>
      <c r="E2" s="448"/>
      <c r="F2" s="448"/>
      <c r="G2" s="448"/>
      <c r="H2" s="448"/>
      <c r="I2" s="448"/>
      <c r="J2" s="449"/>
      <c r="K2" s="422"/>
    </row>
    <row r="4" spans="1:11" s="16" customFormat="1" x14ac:dyDescent="0.25">
      <c r="B4" s="18" t="s">
        <v>21</v>
      </c>
      <c r="C4" s="439" t="s">
        <v>22</v>
      </c>
      <c r="D4" s="439"/>
      <c r="E4" s="439"/>
      <c r="F4" s="439"/>
      <c r="G4" s="442" t="s">
        <v>23</v>
      </c>
      <c r="H4" s="443"/>
      <c r="I4" s="439" t="s">
        <v>24</v>
      </c>
      <c r="J4" s="439"/>
    </row>
    <row r="5" spans="1:11" x14ac:dyDescent="0.25">
      <c r="B5" s="11">
        <v>1</v>
      </c>
      <c r="C5" s="440" t="s">
        <v>25</v>
      </c>
      <c r="D5" s="440"/>
      <c r="E5" s="440"/>
      <c r="F5" s="440"/>
      <c r="G5" s="441">
        <v>2.5</v>
      </c>
      <c r="H5" s="444"/>
      <c r="I5" s="440">
        <v>10</v>
      </c>
      <c r="J5" s="440"/>
    </row>
    <row r="6" spans="1:11" x14ac:dyDescent="0.25">
      <c r="B6" s="11">
        <v>2</v>
      </c>
      <c r="C6" s="440" t="s">
        <v>26</v>
      </c>
      <c r="D6" s="440"/>
      <c r="E6" s="440"/>
      <c r="F6" s="440"/>
      <c r="G6" s="441">
        <v>5</v>
      </c>
      <c r="H6" s="444"/>
      <c r="I6" s="440">
        <v>25</v>
      </c>
      <c r="J6" s="440"/>
    </row>
    <row r="7" spans="1:11" x14ac:dyDescent="0.25">
      <c r="B7" s="11">
        <v>3</v>
      </c>
      <c r="C7" s="440" t="s">
        <v>27</v>
      </c>
      <c r="D7" s="440"/>
      <c r="E7" s="440"/>
      <c r="F7" s="440"/>
      <c r="G7" s="445" t="s">
        <v>31</v>
      </c>
      <c r="H7" s="446"/>
      <c r="I7" s="440" t="s">
        <v>31</v>
      </c>
      <c r="J7" s="440"/>
    </row>
    <row r="8" spans="1:11" x14ac:dyDescent="0.25">
      <c r="B8" s="11">
        <v>4</v>
      </c>
      <c r="C8" s="440" t="s">
        <v>28</v>
      </c>
      <c r="D8" s="440"/>
      <c r="E8" s="440"/>
      <c r="F8" s="441"/>
      <c r="G8" s="15">
        <v>7</v>
      </c>
      <c r="H8" s="14">
        <v>8.5</v>
      </c>
      <c r="I8" s="15">
        <v>6.5</v>
      </c>
      <c r="J8" s="14">
        <v>9.1999999999999993</v>
      </c>
    </row>
    <row r="9" spans="1:11" x14ac:dyDescent="0.25">
      <c r="B9" s="11">
        <v>5</v>
      </c>
      <c r="C9" s="440" t="s">
        <v>29</v>
      </c>
      <c r="D9" s="440"/>
      <c r="E9" s="440"/>
      <c r="F9" s="440"/>
      <c r="G9" s="441">
        <v>500</v>
      </c>
      <c r="H9" s="444"/>
      <c r="I9" s="440">
        <v>1500</v>
      </c>
      <c r="J9" s="440"/>
    </row>
    <row r="10" spans="1:11" x14ac:dyDescent="0.25">
      <c r="B10" s="11">
        <v>6</v>
      </c>
      <c r="C10" s="440" t="s">
        <v>46</v>
      </c>
      <c r="D10" s="440"/>
      <c r="E10" s="440"/>
      <c r="F10" s="440"/>
      <c r="G10" s="441">
        <v>200</v>
      </c>
      <c r="H10" s="444"/>
      <c r="I10" s="440">
        <v>600</v>
      </c>
      <c r="J10" s="440"/>
    </row>
    <row r="11" spans="1:11" x14ac:dyDescent="0.25">
      <c r="B11" s="11">
        <v>7</v>
      </c>
      <c r="C11" s="440" t="s">
        <v>45</v>
      </c>
      <c r="D11" s="440"/>
      <c r="E11" s="440"/>
      <c r="F11" s="440"/>
      <c r="G11" s="441">
        <v>200</v>
      </c>
      <c r="H11" s="444"/>
      <c r="I11" s="440">
        <v>1000</v>
      </c>
      <c r="J11" s="440"/>
    </row>
    <row r="12" spans="1:11" x14ac:dyDescent="0.25">
      <c r="B12" s="11">
        <v>8</v>
      </c>
      <c r="C12" s="440" t="s">
        <v>44</v>
      </c>
      <c r="D12" s="440"/>
      <c r="E12" s="440"/>
      <c r="F12" s="440"/>
      <c r="G12" s="441">
        <v>200</v>
      </c>
      <c r="H12" s="444"/>
      <c r="I12" s="440">
        <v>400</v>
      </c>
      <c r="J12" s="440"/>
    </row>
    <row r="13" spans="1:11" x14ac:dyDescent="0.25">
      <c r="B13" s="11">
        <v>9</v>
      </c>
      <c r="C13" s="440" t="s">
        <v>43</v>
      </c>
      <c r="D13" s="440"/>
      <c r="E13" s="440"/>
      <c r="F13" s="440"/>
      <c r="G13" s="441">
        <v>1</v>
      </c>
      <c r="H13" s="444"/>
      <c r="I13" s="440">
        <v>1.5</v>
      </c>
      <c r="J13" s="440"/>
    </row>
    <row r="14" spans="1:11" x14ac:dyDescent="0.25">
      <c r="B14" s="11">
        <v>10</v>
      </c>
      <c r="C14" s="440" t="s">
        <v>42</v>
      </c>
      <c r="D14" s="440"/>
      <c r="E14" s="440"/>
      <c r="F14" s="440"/>
      <c r="G14" s="441">
        <v>45</v>
      </c>
      <c r="H14" s="444"/>
      <c r="I14" s="440">
        <v>45</v>
      </c>
      <c r="J14" s="440"/>
    </row>
    <row r="15" spans="1:11" x14ac:dyDescent="0.25">
      <c r="B15" s="11">
        <v>11</v>
      </c>
      <c r="C15" s="440" t="s">
        <v>30</v>
      </c>
      <c r="D15" s="440"/>
      <c r="E15" s="440"/>
      <c r="F15" s="440"/>
      <c r="G15" s="441">
        <v>75</v>
      </c>
      <c r="H15" s="444"/>
      <c r="I15" s="440">
        <v>200</v>
      </c>
      <c r="J15" s="440"/>
    </row>
    <row r="16" spans="1:11" x14ac:dyDescent="0.25">
      <c r="B16" s="11">
        <v>12</v>
      </c>
      <c r="C16" s="440" t="s">
        <v>41</v>
      </c>
      <c r="D16" s="440"/>
      <c r="E16" s="440"/>
      <c r="F16" s="440"/>
      <c r="G16" s="441">
        <v>30</v>
      </c>
      <c r="H16" s="444"/>
      <c r="I16" s="440">
        <v>150</v>
      </c>
      <c r="J16" s="440"/>
    </row>
    <row r="17" spans="2:10" x14ac:dyDescent="0.25">
      <c r="B17" s="11">
        <v>13</v>
      </c>
      <c r="C17" s="440" t="s">
        <v>40</v>
      </c>
      <c r="D17" s="440"/>
      <c r="E17" s="440"/>
      <c r="F17" s="440"/>
      <c r="G17" s="441">
        <v>0.1</v>
      </c>
      <c r="H17" s="444"/>
      <c r="I17" s="440">
        <v>1</v>
      </c>
      <c r="J17" s="440"/>
    </row>
    <row r="18" spans="2:10" x14ac:dyDescent="0.25">
      <c r="B18" s="11">
        <v>14</v>
      </c>
      <c r="C18" s="440" t="s">
        <v>39</v>
      </c>
      <c r="D18" s="440"/>
      <c r="E18" s="440"/>
      <c r="F18" s="440"/>
      <c r="G18" s="441">
        <v>0.05</v>
      </c>
      <c r="H18" s="444"/>
      <c r="I18" s="440">
        <v>0.5</v>
      </c>
      <c r="J18" s="440"/>
    </row>
    <row r="19" spans="2:10" x14ac:dyDescent="0.25">
      <c r="B19" s="11">
        <v>15</v>
      </c>
      <c r="C19" s="440" t="s">
        <v>38</v>
      </c>
      <c r="D19" s="440"/>
      <c r="E19" s="440"/>
      <c r="F19" s="440"/>
      <c r="G19" s="441">
        <v>0.05</v>
      </c>
      <c r="H19" s="444"/>
      <c r="I19" s="440">
        <v>1.5</v>
      </c>
      <c r="J19" s="440"/>
    </row>
    <row r="20" spans="2:10" x14ac:dyDescent="0.25">
      <c r="B20" s="11">
        <v>16</v>
      </c>
      <c r="C20" s="440" t="s">
        <v>37</v>
      </c>
      <c r="D20" s="440"/>
      <c r="E20" s="440"/>
      <c r="F20" s="440"/>
      <c r="G20" s="441">
        <v>5</v>
      </c>
      <c r="H20" s="444"/>
      <c r="I20" s="440">
        <v>15</v>
      </c>
      <c r="J20" s="440"/>
    </row>
    <row r="21" spans="2:10" x14ac:dyDescent="0.25">
      <c r="B21" s="11">
        <v>17</v>
      </c>
      <c r="C21" s="440" t="s">
        <v>36</v>
      </c>
      <c r="D21" s="440"/>
      <c r="E21" s="440"/>
      <c r="F21" s="440"/>
      <c r="G21" s="441">
        <v>1E-3</v>
      </c>
      <c r="H21" s="444"/>
      <c r="I21" s="440">
        <v>2E-3</v>
      </c>
      <c r="J21" s="440"/>
    </row>
    <row r="22" spans="2:10" x14ac:dyDescent="0.25">
      <c r="B22" s="11">
        <v>18</v>
      </c>
      <c r="C22" s="440" t="s">
        <v>35</v>
      </c>
      <c r="D22" s="440"/>
      <c r="E22" s="440"/>
      <c r="F22" s="440"/>
      <c r="G22" s="441">
        <v>0.2</v>
      </c>
      <c r="H22" s="444"/>
      <c r="I22" s="440">
        <v>1</v>
      </c>
      <c r="J22" s="440"/>
    </row>
    <row r="23" spans="2:10" x14ac:dyDescent="0.25">
      <c r="B23" s="11">
        <v>19</v>
      </c>
      <c r="C23" s="440" t="s">
        <v>32</v>
      </c>
      <c r="D23" s="440"/>
      <c r="E23" s="440"/>
      <c r="F23" s="440"/>
      <c r="G23" s="441">
        <v>0.01</v>
      </c>
      <c r="H23" s="444"/>
      <c r="I23" s="440">
        <v>0.3</v>
      </c>
      <c r="J23" s="440"/>
    </row>
    <row r="24" spans="2:10" x14ac:dyDescent="0.25">
      <c r="B24" s="450" t="s">
        <v>33</v>
      </c>
      <c r="C24" s="451"/>
      <c r="D24" s="451"/>
      <c r="E24" s="451"/>
      <c r="F24" s="451"/>
      <c r="G24" s="451"/>
      <c r="H24" s="451"/>
      <c r="I24" s="451"/>
      <c r="J24" s="452"/>
    </row>
    <row r="25" spans="2:10" x14ac:dyDescent="0.25">
      <c r="B25" s="11">
        <v>20</v>
      </c>
      <c r="C25" s="440" t="s">
        <v>34</v>
      </c>
      <c r="D25" s="440"/>
      <c r="E25" s="440"/>
      <c r="F25" s="440"/>
      <c r="G25" s="441">
        <v>0.05</v>
      </c>
      <c r="H25" s="444"/>
      <c r="I25" s="440">
        <v>0.05</v>
      </c>
      <c r="J25" s="440"/>
    </row>
    <row r="26" spans="2:10" x14ac:dyDescent="0.25">
      <c r="B26" s="11">
        <v>21</v>
      </c>
      <c r="C26" s="440" t="s">
        <v>47</v>
      </c>
      <c r="D26" s="440"/>
      <c r="E26" s="440"/>
      <c r="F26" s="440"/>
      <c r="G26" s="441">
        <v>0.01</v>
      </c>
      <c r="H26" s="444"/>
      <c r="I26" s="440">
        <v>0.01</v>
      </c>
      <c r="J26" s="440"/>
    </row>
    <row r="27" spans="2:10" x14ac:dyDescent="0.25">
      <c r="B27" s="11">
        <v>22</v>
      </c>
      <c r="C27" s="440" t="s">
        <v>48</v>
      </c>
      <c r="D27" s="440"/>
      <c r="E27" s="440"/>
      <c r="F27" s="440"/>
      <c r="G27" s="441">
        <v>0.05</v>
      </c>
      <c r="H27" s="444"/>
      <c r="I27" s="440">
        <v>0.05</v>
      </c>
      <c r="J27" s="440"/>
    </row>
    <row r="28" spans="2:10" x14ac:dyDescent="0.25">
      <c r="B28" s="11">
        <v>23</v>
      </c>
      <c r="C28" s="440" t="s">
        <v>56</v>
      </c>
      <c r="D28" s="440"/>
      <c r="E28" s="440"/>
      <c r="F28" s="440"/>
      <c r="G28" s="441">
        <v>0.05</v>
      </c>
      <c r="H28" s="444"/>
      <c r="I28" s="440">
        <v>0.05</v>
      </c>
      <c r="J28" s="440"/>
    </row>
    <row r="29" spans="2:10" x14ac:dyDescent="0.25">
      <c r="B29" s="11">
        <v>24</v>
      </c>
      <c r="C29" s="440" t="s">
        <v>49</v>
      </c>
      <c r="D29" s="440"/>
      <c r="E29" s="440"/>
      <c r="F29" s="440"/>
      <c r="G29" s="441">
        <v>0.1</v>
      </c>
      <c r="H29" s="444"/>
      <c r="I29" s="440">
        <v>0.1</v>
      </c>
      <c r="J29" s="440"/>
    </row>
    <row r="30" spans="2:10" x14ac:dyDescent="0.25">
      <c r="B30" s="11">
        <v>25</v>
      </c>
      <c r="C30" s="440" t="s">
        <v>50</v>
      </c>
      <c r="D30" s="440"/>
      <c r="E30" s="440"/>
      <c r="F30" s="440"/>
      <c r="G30" s="441">
        <v>0.01</v>
      </c>
      <c r="H30" s="444"/>
      <c r="I30" s="440">
        <v>0.01</v>
      </c>
      <c r="J30" s="440"/>
    </row>
    <row r="31" spans="2:10" x14ac:dyDescent="0.25">
      <c r="B31" s="11">
        <v>26</v>
      </c>
      <c r="C31" s="440" t="s">
        <v>51</v>
      </c>
      <c r="D31" s="440"/>
      <c r="E31" s="440"/>
      <c r="F31" s="440"/>
      <c r="G31" s="441">
        <v>1E-3</v>
      </c>
      <c r="H31" s="444"/>
      <c r="I31" s="440">
        <v>1E-3</v>
      </c>
      <c r="J31" s="440"/>
    </row>
    <row r="32" spans="2:10" x14ac:dyDescent="0.25">
      <c r="B32" s="11">
        <v>27</v>
      </c>
      <c r="C32" s="440" t="s">
        <v>52</v>
      </c>
      <c r="D32" s="440"/>
      <c r="E32" s="440"/>
      <c r="F32" s="440"/>
      <c r="G32" s="441">
        <v>0.2</v>
      </c>
      <c r="H32" s="444"/>
      <c r="I32" s="440">
        <v>0.2</v>
      </c>
      <c r="J32" s="440"/>
    </row>
    <row r="33" spans="2:10" x14ac:dyDescent="0.25">
      <c r="B33" s="450" t="s">
        <v>53</v>
      </c>
      <c r="C33" s="451"/>
      <c r="D33" s="451"/>
      <c r="E33" s="451"/>
      <c r="F33" s="451"/>
      <c r="G33" s="451"/>
      <c r="H33" s="451"/>
      <c r="I33" s="451"/>
      <c r="J33" s="452"/>
    </row>
    <row r="34" spans="2:10" x14ac:dyDescent="0.25">
      <c r="B34" s="11">
        <v>28</v>
      </c>
      <c r="C34" s="440" t="s">
        <v>54</v>
      </c>
      <c r="D34" s="440"/>
      <c r="E34" s="440"/>
      <c r="F34" s="440"/>
      <c r="G34" s="441">
        <v>3</v>
      </c>
      <c r="H34" s="444"/>
      <c r="I34" s="440">
        <v>3</v>
      </c>
      <c r="J34" s="440"/>
    </row>
    <row r="35" spans="2:10" x14ac:dyDescent="0.25">
      <c r="B35" s="11">
        <v>29</v>
      </c>
      <c r="C35" s="440" t="s">
        <v>55</v>
      </c>
      <c r="D35" s="440"/>
      <c r="E35" s="440"/>
      <c r="F35" s="440"/>
      <c r="G35" s="441">
        <v>30</v>
      </c>
      <c r="H35" s="444"/>
      <c r="I35" s="440">
        <v>30</v>
      </c>
      <c r="J35" s="440"/>
    </row>
  </sheetData>
  <mergeCells count="91">
    <mergeCell ref="G31:H31"/>
    <mergeCell ref="G32:H32"/>
    <mergeCell ref="G34:H34"/>
    <mergeCell ref="G35:H35"/>
    <mergeCell ref="B2:J2"/>
    <mergeCell ref="B24:J24"/>
    <mergeCell ref="B33:J33"/>
    <mergeCell ref="G25:H25"/>
    <mergeCell ref="G26:H26"/>
    <mergeCell ref="G27:H27"/>
    <mergeCell ref="G28:H28"/>
    <mergeCell ref="G29:H29"/>
    <mergeCell ref="G30:H30"/>
    <mergeCell ref="G18:H18"/>
    <mergeCell ref="G19:H19"/>
    <mergeCell ref="G20:H20"/>
    <mergeCell ref="G21:H21"/>
    <mergeCell ref="G22:H22"/>
    <mergeCell ref="G23:H23"/>
    <mergeCell ref="G12:H12"/>
    <mergeCell ref="G13:H13"/>
    <mergeCell ref="G14:H14"/>
    <mergeCell ref="G15:H15"/>
    <mergeCell ref="G16:H16"/>
    <mergeCell ref="G17:H17"/>
    <mergeCell ref="I32:J32"/>
    <mergeCell ref="I34:J34"/>
    <mergeCell ref="I35:J35"/>
    <mergeCell ref="G4:H4"/>
    <mergeCell ref="G5:H5"/>
    <mergeCell ref="G6:H6"/>
    <mergeCell ref="G7:H7"/>
    <mergeCell ref="G9:H9"/>
    <mergeCell ref="G10:H10"/>
    <mergeCell ref="G11:H11"/>
    <mergeCell ref="I26:J26"/>
    <mergeCell ref="I27:J27"/>
    <mergeCell ref="I28:J28"/>
    <mergeCell ref="I29:J29"/>
    <mergeCell ref="I30:J30"/>
    <mergeCell ref="I31:J31"/>
    <mergeCell ref="I25:J25"/>
    <mergeCell ref="I13:J13"/>
    <mergeCell ref="I14:J14"/>
    <mergeCell ref="I15:J15"/>
    <mergeCell ref="I16:J16"/>
    <mergeCell ref="I17:J17"/>
    <mergeCell ref="I18:J18"/>
    <mergeCell ref="I19:J19"/>
    <mergeCell ref="I20:J20"/>
    <mergeCell ref="I21:J21"/>
    <mergeCell ref="I22:J22"/>
    <mergeCell ref="I23:J23"/>
    <mergeCell ref="C35:F35"/>
    <mergeCell ref="I4:J4"/>
    <mergeCell ref="I5:J5"/>
    <mergeCell ref="I6:J6"/>
    <mergeCell ref="I7:J7"/>
    <mergeCell ref="I9:J9"/>
    <mergeCell ref="I10:J10"/>
    <mergeCell ref="I11:J11"/>
    <mergeCell ref="I12:J12"/>
    <mergeCell ref="C28:F28"/>
    <mergeCell ref="C29:F29"/>
    <mergeCell ref="C30:F30"/>
    <mergeCell ref="C31:F31"/>
    <mergeCell ref="C32:F32"/>
    <mergeCell ref="C34:F34"/>
    <mergeCell ref="C21:F21"/>
    <mergeCell ref="C22:F22"/>
    <mergeCell ref="C23:F23"/>
    <mergeCell ref="C25:F25"/>
    <mergeCell ref="C26:F26"/>
    <mergeCell ref="C27:F27"/>
    <mergeCell ref="C20:F20"/>
    <mergeCell ref="C9:F9"/>
    <mergeCell ref="C10:F10"/>
    <mergeCell ref="C11:F11"/>
    <mergeCell ref="C12:F12"/>
    <mergeCell ref="C13:F13"/>
    <mergeCell ref="C14:F14"/>
    <mergeCell ref="C15:F15"/>
    <mergeCell ref="C16:F16"/>
    <mergeCell ref="C17:F17"/>
    <mergeCell ref="C18:F18"/>
    <mergeCell ref="C19:F19"/>
    <mergeCell ref="C4:F4"/>
    <mergeCell ref="C5:F5"/>
    <mergeCell ref="C6:F6"/>
    <mergeCell ref="C7:F7"/>
    <mergeCell ref="C8:F8"/>
  </mergeCells>
  <pageMargins left="0.7" right="0"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2"/>
  <sheetViews>
    <sheetView view="pageBreakPreview" zoomScaleNormal="100" zoomScaleSheetLayoutView="100" workbookViewId="0">
      <selection activeCell="E14" sqref="E14"/>
    </sheetView>
  </sheetViews>
  <sheetFormatPr defaultRowHeight="15" x14ac:dyDescent="0.25"/>
  <cols>
    <col min="1" max="1" width="3.5703125" style="1" customWidth="1"/>
    <col min="2" max="2" width="5.85546875" style="1" bestFit="1" customWidth="1"/>
    <col min="3" max="3" width="7.7109375" style="1" customWidth="1"/>
    <col min="4" max="4" width="6.5703125" style="1" customWidth="1"/>
    <col min="5" max="5" width="6.5703125" style="1" bestFit="1" customWidth="1"/>
    <col min="6" max="6" width="6.28515625" style="1" bestFit="1" customWidth="1"/>
    <col min="7" max="7" width="3.5703125" style="1" bestFit="1" customWidth="1"/>
    <col min="8" max="8" width="4.5703125" style="1" bestFit="1" customWidth="1"/>
    <col min="9" max="9" width="11.42578125" style="1" bestFit="1" customWidth="1"/>
    <col min="10" max="10" width="18.42578125" style="1" bestFit="1" customWidth="1"/>
    <col min="11" max="11" width="3.7109375" style="1" customWidth="1"/>
    <col min="12" max="16384" width="9.140625" style="1"/>
  </cols>
  <sheetData>
    <row r="2" spans="2:10" ht="15" customHeight="1" x14ac:dyDescent="0.25">
      <c r="B2" s="447" t="s">
        <v>57</v>
      </c>
      <c r="C2" s="448"/>
      <c r="D2" s="448"/>
      <c r="E2" s="448"/>
      <c r="F2" s="448"/>
      <c r="G2" s="448"/>
      <c r="H2" s="448"/>
      <c r="I2" s="448"/>
      <c r="J2" s="449"/>
    </row>
    <row r="4" spans="2:10" s="425" customFormat="1" ht="13.5" x14ac:dyDescent="0.25">
      <c r="B4" s="423" t="s">
        <v>21</v>
      </c>
      <c r="C4" s="453" t="s">
        <v>58</v>
      </c>
      <c r="D4" s="453"/>
      <c r="E4" s="424" t="s">
        <v>59</v>
      </c>
      <c r="F4" s="454" t="s">
        <v>60</v>
      </c>
      <c r="G4" s="455"/>
      <c r="H4" s="454" t="s">
        <v>61</v>
      </c>
      <c r="I4" s="455"/>
      <c r="J4" s="423" t="s">
        <v>62</v>
      </c>
    </row>
    <row r="5" spans="2:10" x14ac:dyDescent="0.25">
      <c r="B5" s="11">
        <v>1</v>
      </c>
      <c r="C5" s="440" t="s">
        <v>63</v>
      </c>
      <c r="D5" s="440"/>
      <c r="E5" s="406">
        <v>7.5</v>
      </c>
      <c r="F5" s="19">
        <v>7</v>
      </c>
      <c r="G5" s="20">
        <v>8.5</v>
      </c>
      <c r="H5" s="47">
        <f>-E5+(F5+G5)/2</f>
        <v>0.25</v>
      </c>
      <c r="I5" s="13" t="str">
        <f>IF(H5&lt;1," Hence OK.","Not OK")</f>
        <v xml:space="preserve"> Hence OK.</v>
      </c>
      <c r="J5" s="13" t="s">
        <v>71</v>
      </c>
    </row>
    <row r="6" spans="2:10" ht="30" x14ac:dyDescent="0.25">
      <c r="B6" s="11">
        <v>2</v>
      </c>
      <c r="C6" s="440" t="s">
        <v>64</v>
      </c>
      <c r="D6" s="440"/>
      <c r="E6" s="406">
        <v>50</v>
      </c>
      <c r="F6" s="458">
        <v>2.5</v>
      </c>
      <c r="G6" s="459"/>
      <c r="H6" s="441">
        <f>E6-F6</f>
        <v>47.5</v>
      </c>
      <c r="I6" s="444"/>
      <c r="J6" s="11" t="s">
        <v>72</v>
      </c>
    </row>
    <row r="7" spans="2:10" x14ac:dyDescent="0.25">
      <c r="B7" s="11">
        <v>3</v>
      </c>
      <c r="C7" s="440" t="s">
        <v>65</v>
      </c>
      <c r="D7" s="440"/>
      <c r="E7" s="406">
        <v>550</v>
      </c>
      <c r="F7" s="458">
        <v>200</v>
      </c>
      <c r="G7" s="459"/>
      <c r="H7" s="441">
        <f t="shared" ref="H7:H12" si="0">E7-F7</f>
        <v>350</v>
      </c>
      <c r="I7" s="444"/>
      <c r="J7" s="11" t="s">
        <v>73</v>
      </c>
    </row>
    <row r="8" spans="2:10" ht="15" customHeight="1" x14ac:dyDescent="0.25">
      <c r="B8" s="11">
        <v>4</v>
      </c>
      <c r="C8" s="440" t="s">
        <v>66</v>
      </c>
      <c r="D8" s="440"/>
      <c r="E8" s="406">
        <v>200</v>
      </c>
      <c r="F8" s="458">
        <v>200</v>
      </c>
      <c r="G8" s="459"/>
      <c r="H8" s="441">
        <f t="shared" si="0"/>
        <v>0</v>
      </c>
      <c r="I8" s="444"/>
      <c r="J8" s="11" t="s">
        <v>76</v>
      </c>
    </row>
    <row r="9" spans="2:10" x14ac:dyDescent="0.25">
      <c r="B9" s="11">
        <v>5</v>
      </c>
      <c r="C9" s="440" t="s">
        <v>67</v>
      </c>
      <c r="D9" s="440"/>
      <c r="E9" s="406">
        <v>2.5</v>
      </c>
      <c r="F9" s="458">
        <v>0.1</v>
      </c>
      <c r="G9" s="459"/>
      <c r="H9" s="441">
        <f t="shared" si="0"/>
        <v>2.4</v>
      </c>
      <c r="I9" s="444"/>
      <c r="J9" s="11" t="s">
        <v>74</v>
      </c>
    </row>
    <row r="10" spans="2:10" x14ac:dyDescent="0.25">
      <c r="B10" s="11">
        <v>6</v>
      </c>
      <c r="C10" s="440" t="s">
        <v>68</v>
      </c>
      <c r="D10" s="440"/>
      <c r="E10" s="406">
        <v>3.5</v>
      </c>
      <c r="F10" s="458">
        <v>0.05</v>
      </c>
      <c r="G10" s="459"/>
      <c r="H10" s="441">
        <f t="shared" si="0"/>
        <v>3.45</v>
      </c>
      <c r="I10" s="444"/>
      <c r="J10" s="11" t="s">
        <v>74</v>
      </c>
    </row>
    <row r="11" spans="2:10" x14ac:dyDescent="0.25">
      <c r="B11" s="11">
        <v>7</v>
      </c>
      <c r="C11" s="440" t="s">
        <v>69</v>
      </c>
      <c r="D11" s="440"/>
      <c r="E11" s="406">
        <v>110</v>
      </c>
      <c r="F11" s="458">
        <v>0</v>
      </c>
      <c r="G11" s="459"/>
      <c r="H11" s="441">
        <f t="shared" si="0"/>
        <v>110</v>
      </c>
      <c r="I11" s="444"/>
      <c r="J11" s="11" t="s">
        <v>73</v>
      </c>
    </row>
    <row r="12" spans="2:10" x14ac:dyDescent="0.25">
      <c r="B12" s="11">
        <v>8</v>
      </c>
      <c r="C12" s="440" t="s">
        <v>70</v>
      </c>
      <c r="D12" s="440"/>
      <c r="E12" s="406">
        <v>3.5</v>
      </c>
      <c r="F12" s="456">
        <v>0</v>
      </c>
      <c r="G12" s="457"/>
      <c r="H12" s="441">
        <f t="shared" si="0"/>
        <v>3.5</v>
      </c>
      <c r="I12" s="444"/>
      <c r="J12" s="11" t="s">
        <v>75</v>
      </c>
    </row>
  </sheetData>
  <mergeCells count="26">
    <mergeCell ref="F12:G12"/>
    <mergeCell ref="H4:I4"/>
    <mergeCell ref="H6:I6"/>
    <mergeCell ref="H7:I7"/>
    <mergeCell ref="H8:I8"/>
    <mergeCell ref="H9:I9"/>
    <mergeCell ref="H10:I10"/>
    <mergeCell ref="H11:I11"/>
    <mergeCell ref="H12:I12"/>
    <mergeCell ref="F6:G6"/>
    <mergeCell ref="F7:G7"/>
    <mergeCell ref="F8:G8"/>
    <mergeCell ref="F9:G9"/>
    <mergeCell ref="F10:G10"/>
    <mergeCell ref="F11:G11"/>
    <mergeCell ref="C11:D11"/>
    <mergeCell ref="C12:D12"/>
    <mergeCell ref="C6:D6"/>
    <mergeCell ref="C7:D7"/>
    <mergeCell ref="C8:D8"/>
    <mergeCell ref="C10:D10"/>
    <mergeCell ref="C4:D4"/>
    <mergeCell ref="C5:D5"/>
    <mergeCell ref="B2:J2"/>
    <mergeCell ref="F4:G4"/>
    <mergeCell ref="C9:D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8"/>
  <sheetViews>
    <sheetView view="pageBreakPreview" topLeftCell="A16" zoomScaleNormal="100" zoomScaleSheetLayoutView="100" workbookViewId="0">
      <selection activeCell="N33" sqref="N33"/>
    </sheetView>
  </sheetViews>
  <sheetFormatPr defaultRowHeight="15" x14ac:dyDescent="0.25"/>
  <cols>
    <col min="1" max="1" width="2.85546875" style="1" customWidth="1"/>
    <col min="2" max="4" width="9.140625" style="1"/>
    <col min="5" max="5" width="10.140625" style="1" customWidth="1"/>
    <col min="6" max="6" width="9.140625" style="1" bestFit="1" customWidth="1"/>
    <col min="7" max="7" width="5.140625" style="1" bestFit="1" customWidth="1"/>
    <col min="8" max="8" width="10.5703125" style="1" customWidth="1"/>
    <col min="9" max="9" width="5.42578125" style="1" bestFit="1" customWidth="1"/>
    <col min="10" max="10" width="2.5703125" style="1" customWidth="1"/>
    <col min="11" max="16384" width="9.140625" style="1"/>
  </cols>
  <sheetData>
    <row r="2" spans="2:9" ht="15" customHeight="1" x14ac:dyDescent="0.25">
      <c r="B2" s="447" t="s">
        <v>77</v>
      </c>
      <c r="C2" s="448"/>
      <c r="D2" s="448"/>
      <c r="E2" s="448"/>
      <c r="F2" s="448"/>
      <c r="G2" s="448"/>
      <c r="H2" s="448"/>
      <c r="I2" s="449"/>
    </row>
    <row r="3" spans="2:9" x14ac:dyDescent="0.25">
      <c r="B3" s="460" t="s">
        <v>78</v>
      </c>
      <c r="C3" s="460"/>
    </row>
    <row r="5" spans="2:9" ht="15" customHeight="1" x14ac:dyDescent="0.25">
      <c r="B5" s="30" t="s">
        <v>21</v>
      </c>
      <c r="C5" s="461" t="s">
        <v>58</v>
      </c>
      <c r="D5" s="461"/>
      <c r="E5" s="461"/>
      <c r="F5" s="462" t="s">
        <v>79</v>
      </c>
      <c r="G5" s="463"/>
      <c r="H5" s="463"/>
      <c r="I5" s="464"/>
    </row>
    <row r="6" spans="2:9" x14ac:dyDescent="0.25">
      <c r="B6" s="11">
        <v>1</v>
      </c>
      <c r="C6" s="440" t="s">
        <v>80</v>
      </c>
      <c r="D6" s="440"/>
      <c r="E6" s="440"/>
      <c r="F6" s="467">
        <v>5</v>
      </c>
      <c r="G6" s="468"/>
      <c r="H6" s="465">
        <f>10</f>
        <v>10</v>
      </c>
      <c r="I6" s="466"/>
    </row>
    <row r="7" spans="2:9" x14ac:dyDescent="0.25">
      <c r="B7" s="11">
        <v>2</v>
      </c>
      <c r="C7" s="440" t="s">
        <v>81</v>
      </c>
      <c r="D7" s="440"/>
      <c r="E7" s="440"/>
      <c r="F7" s="22">
        <v>5</v>
      </c>
      <c r="G7" s="23">
        <v>10</v>
      </c>
      <c r="H7" s="24" t="s">
        <v>86</v>
      </c>
      <c r="I7" s="32">
        <v>15</v>
      </c>
    </row>
    <row r="8" spans="2:9" x14ac:dyDescent="0.25">
      <c r="B8" s="11">
        <v>3</v>
      </c>
      <c r="C8" s="440" t="s">
        <v>82</v>
      </c>
      <c r="D8" s="440"/>
      <c r="E8" s="440"/>
      <c r="F8" s="467">
        <f>4</f>
        <v>4</v>
      </c>
      <c r="G8" s="468"/>
      <c r="H8" s="25">
        <v>10</v>
      </c>
      <c r="I8" s="13"/>
    </row>
    <row r="9" spans="2:9" x14ac:dyDescent="0.25">
      <c r="B9" s="11">
        <v>4</v>
      </c>
      <c r="C9" s="440" t="s">
        <v>83</v>
      </c>
      <c r="D9" s="440"/>
      <c r="E9" s="440"/>
      <c r="F9" s="467">
        <v>0.6</v>
      </c>
      <c r="G9" s="468"/>
      <c r="H9" s="473">
        <f>0.9</f>
        <v>0.9</v>
      </c>
      <c r="I9" s="474"/>
    </row>
    <row r="10" spans="2:9" x14ac:dyDescent="0.25">
      <c r="B10" s="11">
        <v>5</v>
      </c>
      <c r="C10" s="440" t="s">
        <v>84</v>
      </c>
      <c r="D10" s="440"/>
      <c r="E10" s="440"/>
      <c r="F10" s="26">
        <v>1</v>
      </c>
      <c r="G10" s="29">
        <v>3</v>
      </c>
      <c r="H10" s="27" t="s">
        <v>86</v>
      </c>
      <c r="I10" s="28">
        <v>4</v>
      </c>
    </row>
    <row r="11" spans="2:9" x14ac:dyDescent="0.25">
      <c r="B11" s="11">
        <v>6</v>
      </c>
      <c r="C11" s="440" t="s">
        <v>85</v>
      </c>
      <c r="D11" s="440"/>
      <c r="E11" s="440"/>
      <c r="F11" s="17"/>
      <c r="G11" s="475">
        <v>5</v>
      </c>
      <c r="H11" s="475"/>
      <c r="I11" s="13"/>
    </row>
    <row r="13" spans="2:9" ht="15" customHeight="1" x14ac:dyDescent="0.25">
      <c r="B13" s="476" t="s">
        <v>87</v>
      </c>
      <c r="C13" s="476"/>
      <c r="D13" s="476"/>
    </row>
    <row r="15" spans="2:9" x14ac:dyDescent="0.25">
      <c r="B15" s="431" t="s">
        <v>88</v>
      </c>
      <c r="C15" s="431"/>
      <c r="D15" s="37"/>
      <c r="E15" s="1" t="s">
        <v>2</v>
      </c>
      <c r="F15" s="471">
        <f>27</f>
        <v>27</v>
      </c>
      <c r="G15" s="471"/>
    </row>
    <row r="16" spans="2:9" x14ac:dyDescent="0.25">
      <c r="B16" s="431" t="s">
        <v>89</v>
      </c>
      <c r="C16" s="431"/>
      <c r="D16" s="37"/>
      <c r="E16" s="1" t="s">
        <v>2</v>
      </c>
      <c r="F16" s="471">
        <v>28</v>
      </c>
      <c r="G16" s="471"/>
    </row>
    <row r="17" spans="2:13" x14ac:dyDescent="0.25">
      <c r="B17" s="431" t="s">
        <v>90</v>
      </c>
      <c r="C17" s="431"/>
      <c r="D17" s="431"/>
      <c r="E17" s="1" t="s">
        <v>2</v>
      </c>
      <c r="F17" s="471">
        <v>24</v>
      </c>
      <c r="G17" s="471"/>
    </row>
    <row r="18" spans="2:13" x14ac:dyDescent="0.25">
      <c r="B18" s="431" t="s">
        <v>91</v>
      </c>
      <c r="C18" s="431"/>
      <c r="D18" s="37"/>
      <c r="E18" s="1" t="s">
        <v>2</v>
      </c>
      <c r="F18" s="472">
        <f>H6</f>
        <v>10</v>
      </c>
      <c r="G18" s="428"/>
    </row>
    <row r="20" spans="2:13" x14ac:dyDescent="0.25">
      <c r="B20" s="476" t="s">
        <v>92</v>
      </c>
      <c r="C20" s="476"/>
      <c r="D20" s="476"/>
    </row>
    <row r="22" spans="2:13" ht="15" customHeight="1" x14ac:dyDescent="0.25">
      <c r="B22" s="430" t="s">
        <v>93</v>
      </c>
      <c r="C22" s="430"/>
      <c r="D22" s="430"/>
      <c r="E22" s="469">
        <f>W.Demand!H19</f>
        <v>13.334</v>
      </c>
      <c r="F22" s="469"/>
      <c r="G22" s="470" t="s">
        <v>94</v>
      </c>
      <c r="H22" s="470"/>
    </row>
    <row r="23" spans="2:13" x14ac:dyDescent="0.25">
      <c r="D23" s="7" t="s">
        <v>2</v>
      </c>
      <c r="E23" s="34">
        <f>ROUND(E22/(60*60*24)*1000,4)</f>
        <v>0.15429999999999999</v>
      </c>
      <c r="F23" s="477" t="s">
        <v>95</v>
      </c>
      <c r="G23" s="477"/>
      <c r="M23" s="1">
        <f>E23*24*60*60</f>
        <v>13331.519999999999</v>
      </c>
    </row>
    <row r="24" spans="2:13" x14ac:dyDescent="0.25">
      <c r="B24" s="430" t="s">
        <v>96</v>
      </c>
      <c r="C24" s="430"/>
      <c r="D24" s="430"/>
      <c r="E24" s="35">
        <f>E23</f>
        <v>0.15429999999999999</v>
      </c>
      <c r="F24" s="93">
        <f>F18</f>
        <v>10</v>
      </c>
      <c r="G24" s="38">
        <f>60</f>
        <v>60</v>
      </c>
    </row>
    <row r="25" spans="2:13" x14ac:dyDescent="0.25">
      <c r="D25" s="7" t="s">
        <v>2</v>
      </c>
      <c r="E25" s="36">
        <f>E23*F24*G24</f>
        <v>92.58</v>
      </c>
      <c r="F25" s="37" t="s">
        <v>97</v>
      </c>
      <c r="L25" s="1">
        <f>E25*60</f>
        <v>5554.8</v>
      </c>
    </row>
    <row r="26" spans="2:13" x14ac:dyDescent="0.25">
      <c r="B26" s="430" t="s">
        <v>98</v>
      </c>
      <c r="C26" s="430"/>
      <c r="D26" s="430"/>
      <c r="E26" s="430"/>
      <c r="F26" s="41">
        <f>E25</f>
        <v>92.58</v>
      </c>
      <c r="G26" s="40">
        <f>I10</f>
        <v>4</v>
      </c>
    </row>
    <row r="27" spans="2:13" x14ac:dyDescent="0.25">
      <c r="E27" s="7" t="s">
        <v>2</v>
      </c>
      <c r="F27" s="36">
        <f>F26/G26</f>
        <v>23.145</v>
      </c>
      <c r="G27" s="37" t="s">
        <v>99</v>
      </c>
    </row>
    <row r="28" spans="2:13" ht="15" customHeight="1" x14ac:dyDescent="0.25">
      <c r="B28" s="428" t="s">
        <v>100</v>
      </c>
      <c r="C28" s="428"/>
      <c r="D28" s="428"/>
      <c r="E28" s="42">
        <f>F27</f>
        <v>23.145</v>
      </c>
      <c r="F28" s="43">
        <v>4</v>
      </c>
    </row>
    <row r="29" spans="2:13" x14ac:dyDescent="0.25">
      <c r="E29" s="7" t="s">
        <v>101</v>
      </c>
      <c r="F29" s="6"/>
    </row>
    <row r="30" spans="2:13" x14ac:dyDescent="0.25">
      <c r="D30" s="7" t="s">
        <v>102</v>
      </c>
      <c r="E30" s="36">
        <f>ROUND((F27*F28/3.14)^(0.5),2)</f>
        <v>5.43</v>
      </c>
      <c r="F30" s="431" t="str">
        <f>IF(E30&lt;G7," &lt; 10 m ( O.K. )"," &gt; 10 m ( Not O.K. ")</f>
        <v xml:space="preserve"> &lt; 10 m ( O.K. )</v>
      </c>
      <c r="G30" s="431"/>
      <c r="H30" s="431"/>
    </row>
    <row r="31" spans="2:13" x14ac:dyDescent="0.25">
      <c r="B31" s="428" t="s">
        <v>103</v>
      </c>
      <c r="C31" s="428"/>
      <c r="D31" s="428"/>
      <c r="E31" s="428"/>
      <c r="F31" s="39">
        <f>E30</f>
        <v>5.43</v>
      </c>
      <c r="G31" s="1" t="s">
        <v>104</v>
      </c>
      <c r="H31" s="3" t="s">
        <v>105</v>
      </c>
    </row>
    <row r="32" spans="2:13" x14ac:dyDescent="0.25">
      <c r="B32" s="476" t="s">
        <v>106</v>
      </c>
      <c r="C32" s="476"/>
    </row>
    <row r="34" spans="2:9" x14ac:dyDescent="0.25">
      <c r="B34" s="30" t="s">
        <v>21</v>
      </c>
      <c r="C34" s="461" t="s">
        <v>58</v>
      </c>
      <c r="D34" s="461"/>
      <c r="E34" s="461"/>
      <c r="F34" s="88" t="s">
        <v>79</v>
      </c>
      <c r="G34" s="44"/>
      <c r="H34" s="44"/>
      <c r="I34" s="44"/>
    </row>
    <row r="35" spans="2:9" x14ac:dyDescent="0.25">
      <c r="B35" s="11">
        <v>1</v>
      </c>
      <c r="C35" s="440" t="s">
        <v>107</v>
      </c>
      <c r="D35" s="440"/>
      <c r="E35" s="440"/>
      <c r="F35" s="11" t="s">
        <v>111</v>
      </c>
    </row>
    <row r="36" spans="2:9" x14ac:dyDescent="0.25">
      <c r="B36" s="11">
        <v>2</v>
      </c>
      <c r="C36" s="440" t="s">
        <v>108</v>
      </c>
      <c r="D36" s="440"/>
      <c r="E36" s="440"/>
      <c r="F36" s="11" t="str">
        <f>H31</f>
        <v>5.5 m</v>
      </c>
    </row>
    <row r="37" spans="2:9" x14ac:dyDescent="0.25">
      <c r="B37" s="11">
        <v>3</v>
      </c>
      <c r="C37" s="440" t="s">
        <v>109</v>
      </c>
      <c r="D37" s="440"/>
      <c r="E37" s="440"/>
      <c r="F37" s="46">
        <f>F16-F17</f>
        <v>4</v>
      </c>
    </row>
    <row r="38" spans="2:9" x14ac:dyDescent="0.25">
      <c r="B38" s="11">
        <v>4</v>
      </c>
      <c r="C38" s="440" t="s">
        <v>110</v>
      </c>
      <c r="D38" s="440"/>
      <c r="E38" s="440"/>
      <c r="F38" s="45">
        <f>F17</f>
        <v>24</v>
      </c>
    </row>
  </sheetData>
  <mergeCells count="41">
    <mergeCell ref="C35:E35"/>
    <mergeCell ref="C36:E36"/>
    <mergeCell ref="C37:E37"/>
    <mergeCell ref="C38:E38"/>
    <mergeCell ref="F30:H30"/>
    <mergeCell ref="B31:E31"/>
    <mergeCell ref="B32:C32"/>
    <mergeCell ref="C34:E34"/>
    <mergeCell ref="F23:G23"/>
    <mergeCell ref="B24:D24"/>
    <mergeCell ref="B26:E26"/>
    <mergeCell ref="B28:D28"/>
    <mergeCell ref="B20:D20"/>
    <mergeCell ref="B2:I2"/>
    <mergeCell ref="B22:D22"/>
    <mergeCell ref="E22:F22"/>
    <mergeCell ref="G22:H22"/>
    <mergeCell ref="B15:C15"/>
    <mergeCell ref="B16:C16"/>
    <mergeCell ref="B17:D17"/>
    <mergeCell ref="B18:C18"/>
    <mergeCell ref="F15:G15"/>
    <mergeCell ref="F16:G16"/>
    <mergeCell ref="F17:G17"/>
    <mergeCell ref="F18:G18"/>
    <mergeCell ref="F9:G9"/>
    <mergeCell ref="H9:I9"/>
    <mergeCell ref="G11:H11"/>
    <mergeCell ref="B13:D13"/>
    <mergeCell ref="C9:E9"/>
    <mergeCell ref="C10:E10"/>
    <mergeCell ref="C11:E11"/>
    <mergeCell ref="F5:I5"/>
    <mergeCell ref="H6:I6"/>
    <mergeCell ref="F8:G8"/>
    <mergeCell ref="F6:G6"/>
    <mergeCell ref="B3:C3"/>
    <mergeCell ref="C5:E5"/>
    <mergeCell ref="C6:E6"/>
    <mergeCell ref="C7:E7"/>
    <mergeCell ref="C8:E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100"/>
  <sheetViews>
    <sheetView tabSelected="1" view="pageBreakPreview" zoomScaleNormal="100" zoomScaleSheetLayoutView="100" workbookViewId="0">
      <selection activeCell="M38" sqref="M38"/>
    </sheetView>
  </sheetViews>
  <sheetFormatPr defaultRowHeight="15" x14ac:dyDescent="0.25"/>
  <cols>
    <col min="1" max="1" width="2.7109375" style="2" bestFit="1" customWidth="1"/>
    <col min="2" max="3" width="10.5703125" style="2" customWidth="1"/>
    <col min="4" max="4" width="11.28515625" style="2" customWidth="1"/>
    <col min="5" max="5" width="12.7109375" style="2" customWidth="1"/>
    <col min="6" max="6" width="3" style="2" customWidth="1"/>
    <col min="7" max="7" width="10" style="2" bestFit="1" customWidth="1"/>
    <col min="8" max="8" width="2.140625" style="2" bestFit="1" customWidth="1"/>
    <col min="9" max="9" width="12.5703125" style="2" customWidth="1"/>
    <col min="10" max="10" width="1.7109375" style="2" bestFit="1" customWidth="1"/>
    <col min="11" max="11" width="9.140625" style="2"/>
    <col min="12" max="12" width="11.5703125" style="2" bestFit="1" customWidth="1"/>
    <col min="13" max="13" width="9.140625" style="2"/>
    <col min="14" max="14" width="11.5703125" style="2" bestFit="1" customWidth="1"/>
    <col min="15" max="16384" width="9.140625" style="2"/>
  </cols>
  <sheetData>
    <row r="2" spans="1:10" ht="15" customHeight="1" x14ac:dyDescent="0.25">
      <c r="B2" s="447" t="s">
        <v>112</v>
      </c>
      <c r="C2" s="448"/>
      <c r="D2" s="448"/>
      <c r="E2" s="448"/>
      <c r="F2" s="448"/>
      <c r="G2" s="448"/>
      <c r="H2" s="448"/>
      <c r="I2" s="449"/>
    </row>
    <row r="4" spans="1:10" x14ac:dyDescent="0.25">
      <c r="A4" s="2" t="s">
        <v>113</v>
      </c>
      <c r="B4" s="438" t="s">
        <v>114</v>
      </c>
      <c r="C4" s="438"/>
    </row>
    <row r="5" spans="1:10" ht="15" customHeight="1" x14ac:dyDescent="0.25">
      <c r="B5" s="428" t="s">
        <v>115</v>
      </c>
      <c r="C5" s="428"/>
      <c r="D5" s="428"/>
      <c r="E5" s="428"/>
      <c r="F5" s="428"/>
      <c r="G5" s="428"/>
      <c r="H5" s="428"/>
      <c r="I5" s="428"/>
      <c r="J5" s="428"/>
    </row>
    <row r="6" spans="1:10" x14ac:dyDescent="0.25">
      <c r="B6" s="428"/>
      <c r="C6" s="428"/>
      <c r="D6" s="428"/>
      <c r="E6" s="428"/>
      <c r="F6" s="428"/>
      <c r="G6" s="428"/>
      <c r="H6" s="428"/>
      <c r="I6" s="428"/>
      <c r="J6" s="428"/>
    </row>
    <row r="7" spans="1:10" x14ac:dyDescent="0.25">
      <c r="B7" s="428"/>
      <c r="C7" s="428"/>
      <c r="D7" s="428"/>
      <c r="E7" s="428"/>
      <c r="F7" s="428"/>
      <c r="G7" s="428"/>
      <c r="H7" s="428"/>
      <c r="I7" s="428"/>
      <c r="J7" s="428"/>
    </row>
    <row r="8" spans="1:10" x14ac:dyDescent="0.25">
      <c r="B8" s="428"/>
      <c r="C8" s="428"/>
      <c r="D8" s="428"/>
      <c r="E8" s="428"/>
      <c r="F8" s="428"/>
      <c r="G8" s="428"/>
      <c r="H8" s="428"/>
      <c r="I8" s="428"/>
      <c r="J8" s="428"/>
    </row>
    <row r="9" spans="1:10" x14ac:dyDescent="0.25">
      <c r="B9" s="428"/>
      <c r="C9" s="428"/>
      <c r="D9" s="428"/>
      <c r="E9" s="428"/>
      <c r="F9" s="428"/>
      <c r="G9" s="428"/>
      <c r="H9" s="428"/>
      <c r="I9" s="428"/>
      <c r="J9" s="428"/>
    </row>
    <row r="10" spans="1:10" x14ac:dyDescent="0.25">
      <c r="B10" s="428"/>
      <c r="C10" s="428"/>
      <c r="D10" s="428"/>
      <c r="E10" s="428"/>
      <c r="F10" s="428"/>
      <c r="G10" s="428"/>
      <c r="H10" s="428"/>
      <c r="I10" s="428"/>
      <c r="J10" s="428"/>
    </row>
    <row r="11" spans="1:10" x14ac:dyDescent="0.25">
      <c r="B11" s="428"/>
      <c r="C11" s="428"/>
      <c r="D11" s="428"/>
      <c r="E11" s="428"/>
      <c r="F11" s="428"/>
      <c r="G11" s="428"/>
      <c r="H11" s="428"/>
      <c r="I11" s="428"/>
      <c r="J11" s="428"/>
    </row>
    <row r="13" spans="1:10" x14ac:dyDescent="0.25">
      <c r="A13" s="2" t="s">
        <v>116</v>
      </c>
      <c r="B13" s="438" t="s">
        <v>117</v>
      </c>
      <c r="C13" s="438"/>
    </row>
    <row r="14" spans="1:10" x14ac:dyDescent="0.25">
      <c r="B14" s="431" t="s">
        <v>118</v>
      </c>
      <c r="C14" s="431"/>
      <c r="D14" s="431"/>
      <c r="E14" s="431"/>
      <c r="F14" s="2" t="s">
        <v>2</v>
      </c>
      <c r="G14" s="51">
        <v>0.6</v>
      </c>
      <c r="H14" s="492">
        <v>1</v>
      </c>
      <c r="I14" s="492"/>
    </row>
    <row r="15" spans="1:10" x14ac:dyDescent="0.25">
      <c r="B15" s="431" t="s">
        <v>119</v>
      </c>
      <c r="C15" s="431"/>
      <c r="D15" s="431"/>
      <c r="E15" s="431"/>
      <c r="F15" s="2" t="s">
        <v>2</v>
      </c>
      <c r="G15" s="483">
        <v>1</v>
      </c>
      <c r="H15" s="483"/>
      <c r="I15" s="483"/>
    </row>
    <row r="16" spans="1:10" x14ac:dyDescent="0.25">
      <c r="B16" s="431" t="s">
        <v>123</v>
      </c>
      <c r="C16" s="431"/>
      <c r="D16" s="431"/>
      <c r="E16" s="431"/>
      <c r="F16" s="2" t="s">
        <v>2</v>
      </c>
      <c r="G16" s="500">
        <v>2</v>
      </c>
      <c r="H16" s="500"/>
    </row>
    <row r="18" spans="1:9" x14ac:dyDescent="0.25">
      <c r="A18" s="2" t="s">
        <v>120</v>
      </c>
      <c r="B18" s="438" t="s">
        <v>121</v>
      </c>
      <c r="C18" s="438"/>
      <c r="D18" s="438"/>
    </row>
    <row r="19" spans="1:9" x14ac:dyDescent="0.25">
      <c r="B19" s="431" t="s">
        <v>122</v>
      </c>
      <c r="C19" s="431"/>
      <c r="D19" s="431"/>
      <c r="E19" s="431"/>
      <c r="F19" s="2" t="s">
        <v>2</v>
      </c>
      <c r="G19" s="500">
        <f>1</f>
        <v>1</v>
      </c>
      <c r="H19" s="500"/>
    </row>
    <row r="20" spans="1:9" x14ac:dyDescent="0.25">
      <c r="B20" s="431" t="s">
        <v>124</v>
      </c>
      <c r="C20" s="431"/>
      <c r="D20" s="431"/>
      <c r="E20" s="431"/>
      <c r="F20" s="2" t="s">
        <v>2</v>
      </c>
      <c r="G20" s="497">
        <f>G16</f>
        <v>2</v>
      </c>
      <c r="H20" s="497"/>
    </row>
    <row r="21" spans="1:9" x14ac:dyDescent="0.25">
      <c r="B21" s="431" t="s">
        <v>125</v>
      </c>
      <c r="C21" s="431"/>
      <c r="D21" s="431"/>
      <c r="E21" s="431"/>
      <c r="F21" s="2" t="s">
        <v>2</v>
      </c>
      <c r="G21" s="481">
        <f>(G14+H14)/2-0.05</f>
        <v>0.75</v>
      </c>
      <c r="H21" s="481"/>
      <c r="I21" s="481"/>
    </row>
    <row r="22" spans="1:9" x14ac:dyDescent="0.25">
      <c r="B22" s="431" t="s">
        <v>126</v>
      </c>
      <c r="C22" s="431"/>
      <c r="D22" s="431"/>
      <c r="E22" s="431"/>
      <c r="F22" s="2" t="s">
        <v>2</v>
      </c>
      <c r="G22" s="428" t="str">
        <f>""&amp;'Intake Design'!E23&amp;" / ( "&amp;'Pen Stock &amp; Bell Mouth'!G21:H21&amp;" x "&amp;'Pen Stock &amp; Bell Mouth'!G20:H20&amp;" ) "</f>
        <v xml:space="preserve">0.1543 / ( 0.75 x 2 ) </v>
      </c>
      <c r="H22" s="428"/>
      <c r="I22" s="428"/>
    </row>
    <row r="23" spans="1:9" x14ac:dyDescent="0.25">
      <c r="F23" s="2" t="s">
        <v>2</v>
      </c>
      <c r="G23" s="52">
        <f>ROUND('Intake Design'!E23/('Pen Stock &amp; Bell Mouth'!G21:H21*'Pen Stock &amp; Bell Mouth'!G20:H20),3)</f>
        <v>0.10299999999999999</v>
      </c>
      <c r="H23" s="54" t="s">
        <v>99</v>
      </c>
    </row>
    <row r="24" spans="1:9" x14ac:dyDescent="0.25">
      <c r="B24" s="430" t="s">
        <v>127</v>
      </c>
      <c r="C24" s="6"/>
      <c r="D24" s="6"/>
      <c r="E24" s="55">
        <f>G23</f>
        <v>0.10299999999999999</v>
      </c>
      <c r="F24" s="428" t="s">
        <v>2</v>
      </c>
      <c r="G24" s="498">
        <f>ROUND((G23*4/3.14)^0.5,4)</f>
        <v>0.36220000000000002</v>
      </c>
      <c r="H24" s="428" t="s">
        <v>104</v>
      </c>
      <c r="I24" s="499">
        <v>0.4</v>
      </c>
    </row>
    <row r="25" spans="1:9" x14ac:dyDescent="0.25">
      <c r="B25" s="430"/>
      <c r="E25" s="2" t="s">
        <v>101</v>
      </c>
      <c r="F25" s="428"/>
      <c r="G25" s="498"/>
      <c r="H25" s="428"/>
      <c r="I25" s="499"/>
    </row>
    <row r="26" spans="1:9" x14ac:dyDescent="0.25">
      <c r="A26" s="2" t="s">
        <v>128</v>
      </c>
      <c r="B26" s="438" t="s">
        <v>129</v>
      </c>
      <c r="C26" s="438"/>
    </row>
    <row r="28" spans="1:9" x14ac:dyDescent="0.25">
      <c r="B28" s="31" t="s">
        <v>21</v>
      </c>
      <c r="C28" s="461" t="s">
        <v>58</v>
      </c>
      <c r="D28" s="461"/>
      <c r="E28" s="461"/>
      <c r="F28" s="461" t="s">
        <v>79</v>
      </c>
      <c r="G28" s="461"/>
    </row>
    <row r="29" spans="1:9" x14ac:dyDescent="0.25">
      <c r="B29" s="12">
        <v>1</v>
      </c>
      <c r="C29" s="440" t="s">
        <v>130</v>
      </c>
      <c r="D29" s="440"/>
      <c r="E29" s="440"/>
      <c r="F29" s="494">
        <f>G20</f>
        <v>2</v>
      </c>
      <c r="G29" s="494"/>
    </row>
    <row r="30" spans="1:9" x14ac:dyDescent="0.25">
      <c r="B30" s="12">
        <v>2</v>
      </c>
      <c r="C30" s="440" t="s">
        <v>131</v>
      </c>
      <c r="D30" s="440"/>
      <c r="E30" s="440"/>
      <c r="F30" s="495">
        <f>1</f>
        <v>1</v>
      </c>
      <c r="G30" s="495"/>
    </row>
    <row r="31" spans="1:9" x14ac:dyDescent="0.25">
      <c r="B31" s="12">
        <v>3</v>
      </c>
      <c r="C31" s="440" t="s">
        <v>132</v>
      </c>
      <c r="D31" s="440"/>
      <c r="E31" s="440"/>
      <c r="F31" s="496">
        <f>I24</f>
        <v>0.4</v>
      </c>
      <c r="G31" s="496"/>
    </row>
    <row r="33" spans="1:9" x14ac:dyDescent="0.25">
      <c r="B33" s="491" t="s">
        <v>133</v>
      </c>
      <c r="C33" s="491"/>
      <c r="D33" s="491"/>
    </row>
    <row r="34" spans="1:9" x14ac:dyDescent="0.25">
      <c r="A34" s="2" t="s">
        <v>113</v>
      </c>
      <c r="B34" s="438" t="s">
        <v>117</v>
      </c>
      <c r="C34" s="438"/>
    </row>
    <row r="35" spans="1:9" x14ac:dyDescent="0.25">
      <c r="B35" s="428" t="s">
        <v>83</v>
      </c>
      <c r="C35" s="428"/>
      <c r="F35" s="2" t="s">
        <v>2</v>
      </c>
      <c r="G35" s="51">
        <v>0.2</v>
      </c>
      <c r="H35" s="492">
        <f>0.3</f>
        <v>0.3</v>
      </c>
      <c r="I35" s="492"/>
    </row>
    <row r="36" spans="1:9" x14ac:dyDescent="0.25">
      <c r="B36" s="428" t="s">
        <v>134</v>
      </c>
      <c r="C36" s="428"/>
      <c r="F36" s="2" t="s">
        <v>2</v>
      </c>
      <c r="G36" s="51">
        <v>6</v>
      </c>
      <c r="H36" s="493">
        <f>12</f>
        <v>12</v>
      </c>
      <c r="I36" s="493"/>
    </row>
    <row r="37" spans="1:9" x14ac:dyDescent="0.25">
      <c r="B37" s="428" t="s">
        <v>135</v>
      </c>
      <c r="C37" s="428"/>
      <c r="F37" s="2" t="s">
        <v>2</v>
      </c>
      <c r="G37" s="429">
        <f>2</f>
        <v>2</v>
      </c>
      <c r="H37" s="429"/>
      <c r="I37" s="429"/>
    </row>
    <row r="39" spans="1:9" x14ac:dyDescent="0.25">
      <c r="A39" s="2" t="s">
        <v>116</v>
      </c>
      <c r="B39" s="438" t="s">
        <v>136</v>
      </c>
      <c r="C39" s="438"/>
    </row>
    <row r="40" spans="1:9" x14ac:dyDescent="0.25">
      <c r="B40" s="428" t="s">
        <v>83</v>
      </c>
      <c r="C40" s="428"/>
      <c r="F40" s="2" t="s">
        <v>2</v>
      </c>
      <c r="G40" s="481">
        <f>(G35+H35)/2</f>
        <v>0.25</v>
      </c>
      <c r="H40" s="481"/>
      <c r="I40" s="481"/>
    </row>
    <row r="41" spans="1:9" x14ac:dyDescent="0.25">
      <c r="B41" s="428" t="s">
        <v>134</v>
      </c>
      <c r="C41" s="428"/>
      <c r="F41" s="2" t="s">
        <v>2</v>
      </c>
      <c r="G41" s="59">
        <f>(G36+H36)/2+1</f>
        <v>10</v>
      </c>
      <c r="H41" s="58"/>
    </row>
    <row r="43" spans="1:9" x14ac:dyDescent="0.25">
      <c r="A43" s="2" t="s">
        <v>120</v>
      </c>
      <c r="B43" s="438" t="s">
        <v>137</v>
      </c>
      <c r="C43" s="438"/>
    </row>
    <row r="44" spans="1:9" ht="15" customHeight="1" x14ac:dyDescent="0.25">
      <c r="B44" s="428" t="s">
        <v>138</v>
      </c>
      <c r="C44" s="428"/>
      <c r="E44" s="57" t="str">
        <f>" ( "&amp;G41&amp;" x "&amp;G41&amp;" ) x "</f>
        <v xml:space="preserve"> ( 10 x 10 ) x </v>
      </c>
      <c r="F44" s="56" t="s">
        <v>101</v>
      </c>
      <c r="G44" s="484">
        <f>(3.14*G41*G41/E45)/100</f>
        <v>0.78500000000000003</v>
      </c>
      <c r="H44" s="480" t="s">
        <v>99</v>
      </c>
    </row>
    <row r="45" spans="1:9" x14ac:dyDescent="0.25">
      <c r="B45" s="428"/>
      <c r="C45" s="428"/>
      <c r="E45" s="429">
        <v>4</v>
      </c>
      <c r="F45" s="429"/>
      <c r="G45" s="484"/>
      <c r="H45" s="480"/>
    </row>
    <row r="48" spans="1:9" x14ac:dyDescent="0.25">
      <c r="B48" s="428" t="s">
        <v>139</v>
      </c>
      <c r="C48" s="428"/>
      <c r="D48" s="428"/>
      <c r="E48" s="428"/>
    </row>
    <row r="49" spans="2:12" x14ac:dyDescent="0.25">
      <c r="B49" s="478">
        <f>'Intake Design'!E23</f>
        <v>0.15429999999999999</v>
      </c>
      <c r="C49" s="478"/>
      <c r="D49" s="479">
        <f>G44</f>
        <v>0.78500000000000003</v>
      </c>
      <c r="E49" s="479"/>
    </row>
    <row r="50" spans="2:12" x14ac:dyDescent="0.25">
      <c r="B50" s="430" t="str">
        <f>" ( "&amp;G40&amp;" x "&amp;G37&amp;" ) "</f>
        <v xml:space="preserve"> ( 0.25 x 2 ) </v>
      </c>
      <c r="C50" s="430"/>
      <c r="D50" s="479"/>
      <c r="E50" s="479"/>
    </row>
    <row r="51" spans="2:12" x14ac:dyDescent="0.25">
      <c r="C51" s="430" t="s">
        <v>140</v>
      </c>
      <c r="D51" s="21">
        <f>B49</f>
        <v>0.15429999999999999</v>
      </c>
      <c r="E51" s="61">
        <f>1</f>
        <v>1</v>
      </c>
      <c r="F51" s="428" t="s">
        <v>2</v>
      </c>
      <c r="G51" s="428">
        <f>ROUND(D51*E51/(G40*G37*G44)*10000,1)</f>
        <v>3931.2</v>
      </c>
    </row>
    <row r="52" spans="2:12" x14ac:dyDescent="0.25">
      <c r="C52" s="430"/>
      <c r="D52" s="2" t="str">
        <f>B50</f>
        <v xml:space="preserve"> ( 0.25 x 2 ) </v>
      </c>
      <c r="E52" s="60">
        <f>G44</f>
        <v>0.78500000000000003</v>
      </c>
      <c r="F52" s="428"/>
      <c r="G52" s="428"/>
    </row>
    <row r="53" spans="2:12" x14ac:dyDescent="0.25">
      <c r="B53" s="430" t="s">
        <v>141</v>
      </c>
      <c r="C53" s="430"/>
      <c r="D53" s="429">
        <f>2</f>
        <v>2</v>
      </c>
      <c r="E53" s="429"/>
      <c r="F53" s="429"/>
    </row>
    <row r="54" spans="2:12" x14ac:dyDescent="0.25">
      <c r="C54" s="7" t="s">
        <v>2</v>
      </c>
      <c r="D54" s="428" t="str">
        <f>""&amp;D53&amp;" x "&amp;G51&amp;" x "&amp;G44</f>
        <v>2 x 3931.2 x 0.785</v>
      </c>
      <c r="E54" s="428"/>
      <c r="F54" s="2" t="s">
        <v>2</v>
      </c>
      <c r="G54" s="2">
        <f>ROUND(D53*G51*G44,2)</f>
        <v>6171.98</v>
      </c>
    </row>
    <row r="55" spans="2:12" ht="18" x14ac:dyDescent="0.25">
      <c r="B55" s="428" t="s">
        <v>142</v>
      </c>
      <c r="C55" s="428"/>
      <c r="D55" s="428"/>
      <c r="F55" s="21" t="s">
        <v>101</v>
      </c>
      <c r="G55" s="62" t="s">
        <v>143</v>
      </c>
      <c r="H55" s="428" t="s">
        <v>2</v>
      </c>
      <c r="I55" s="485">
        <f>G54</f>
        <v>6171.98</v>
      </c>
      <c r="J55" s="480" t="s">
        <v>99</v>
      </c>
      <c r="L55" s="2">
        <f>(G54*4/3.14)^0.5</f>
        <v>88.670146636049935</v>
      </c>
    </row>
    <row r="56" spans="2:12" x14ac:dyDescent="0.25">
      <c r="B56" s="428"/>
      <c r="C56" s="428"/>
      <c r="D56" s="428"/>
      <c r="G56" s="37">
        <f>4</f>
        <v>4</v>
      </c>
      <c r="H56" s="428"/>
      <c r="I56" s="485"/>
      <c r="J56" s="480"/>
    </row>
    <row r="57" spans="2:12" ht="15" customHeight="1" x14ac:dyDescent="0.25">
      <c r="C57" s="428" t="s">
        <v>144</v>
      </c>
      <c r="D57" s="428"/>
      <c r="E57" s="460" t="str">
        <f>" ( "&amp;I55&amp;" x "&amp;G56&amp;" ) "</f>
        <v xml:space="preserve"> ( 6171.98 x 4 ) </v>
      </c>
      <c r="F57" s="460"/>
      <c r="G57" s="482">
        <f>ROUND((I55*G56/3.14)^0.5,2)</f>
        <v>88.67</v>
      </c>
      <c r="H57" s="482"/>
    </row>
    <row r="58" spans="2:12" x14ac:dyDescent="0.25">
      <c r="C58" s="428"/>
      <c r="D58" s="428"/>
      <c r="E58" s="2" t="s">
        <v>101</v>
      </c>
      <c r="G58" s="482"/>
      <c r="H58" s="482"/>
    </row>
    <row r="59" spans="2:12" x14ac:dyDescent="0.25">
      <c r="B59" s="430" t="s">
        <v>145</v>
      </c>
      <c r="C59" s="430"/>
      <c r="D59" s="63">
        <f>0.9</f>
        <v>0.9</v>
      </c>
      <c r="E59" s="431" t="s">
        <v>146</v>
      </c>
      <c r="F59" s="431"/>
      <c r="G59" s="431"/>
    </row>
    <row r="60" spans="2:12" x14ac:dyDescent="0.25">
      <c r="B60" s="7"/>
      <c r="C60" s="7"/>
      <c r="D60" s="63"/>
      <c r="E60" s="37"/>
      <c r="F60" s="37"/>
      <c r="G60" s="37"/>
    </row>
    <row r="61" spans="2:12" x14ac:dyDescent="0.25">
      <c r="E61" s="427" t="s">
        <v>149</v>
      </c>
      <c r="F61" s="427"/>
      <c r="G61" s="427"/>
      <c r="H61" s="489" t="s">
        <v>150</v>
      </c>
      <c r="I61" s="489"/>
    </row>
    <row r="64" spans="2:12" x14ac:dyDescent="0.25">
      <c r="B64" s="64" t="s">
        <v>153</v>
      </c>
      <c r="C64" s="488">
        <f>'Intake Design'!F15</f>
        <v>27</v>
      </c>
      <c r="D64" s="488"/>
    </row>
    <row r="66" spans="1:9" x14ac:dyDescent="0.25">
      <c r="B66" s="489" t="s">
        <v>152</v>
      </c>
      <c r="C66" s="489"/>
    </row>
    <row r="67" spans="1:9" x14ac:dyDescent="0.25">
      <c r="B67" s="489"/>
      <c r="C67" s="489"/>
    </row>
    <row r="71" spans="1:9" x14ac:dyDescent="0.25">
      <c r="E71" s="487">
        <f>C64-C78</f>
        <v>3</v>
      </c>
      <c r="F71" s="487"/>
    </row>
    <row r="72" spans="1:9" x14ac:dyDescent="0.25">
      <c r="B72" s="64" t="s">
        <v>203</v>
      </c>
      <c r="C72" s="91">
        <f>26</f>
        <v>26</v>
      </c>
      <c r="D72" s="65"/>
    </row>
    <row r="75" spans="1:9" x14ac:dyDescent="0.25">
      <c r="G75" s="427" t="s">
        <v>151</v>
      </c>
      <c r="H75" s="427"/>
      <c r="I75" s="427"/>
    </row>
    <row r="76" spans="1:9" x14ac:dyDescent="0.25">
      <c r="E76" s="2" t="str">
        <f>'Intake Design'!F36</f>
        <v>5.5 m</v>
      </c>
    </row>
    <row r="78" spans="1:9" x14ac:dyDescent="0.25">
      <c r="A78" s="486" t="s">
        <v>154</v>
      </c>
      <c r="B78" s="486"/>
      <c r="C78" s="66">
        <f>'Intake Design'!F38</f>
        <v>24</v>
      </c>
    </row>
    <row r="80" spans="1:9" ht="15.75" x14ac:dyDescent="0.25">
      <c r="D80" s="490" t="s">
        <v>148</v>
      </c>
      <c r="E80" s="490"/>
    </row>
    <row r="100" spans="4:5" ht="15.75" x14ac:dyDescent="0.25">
      <c r="D100" s="490" t="s">
        <v>147</v>
      </c>
      <c r="E100" s="490"/>
    </row>
  </sheetData>
  <mergeCells count="78">
    <mergeCell ref="B2:I2"/>
    <mergeCell ref="B4:C4"/>
    <mergeCell ref="B13:C13"/>
    <mergeCell ref="B14:E14"/>
    <mergeCell ref="H14:I14"/>
    <mergeCell ref="B5:J11"/>
    <mergeCell ref="B15:E15"/>
    <mergeCell ref="B16:E16"/>
    <mergeCell ref="G16:H16"/>
    <mergeCell ref="B18:D18"/>
    <mergeCell ref="B19:E19"/>
    <mergeCell ref="G19:H19"/>
    <mergeCell ref="C28:E28"/>
    <mergeCell ref="F28:G28"/>
    <mergeCell ref="B20:E20"/>
    <mergeCell ref="B21:E21"/>
    <mergeCell ref="B22:E22"/>
    <mergeCell ref="G20:H20"/>
    <mergeCell ref="G22:I22"/>
    <mergeCell ref="B24:B25"/>
    <mergeCell ref="F24:F25"/>
    <mergeCell ref="G24:G25"/>
    <mergeCell ref="H24:H25"/>
    <mergeCell ref="I24:I25"/>
    <mergeCell ref="B26:C26"/>
    <mergeCell ref="C29:E29"/>
    <mergeCell ref="F29:G29"/>
    <mergeCell ref="C30:E30"/>
    <mergeCell ref="F30:G30"/>
    <mergeCell ref="C31:E31"/>
    <mergeCell ref="F31:G31"/>
    <mergeCell ref="B33:D33"/>
    <mergeCell ref="B34:C34"/>
    <mergeCell ref="B35:C35"/>
    <mergeCell ref="H35:I35"/>
    <mergeCell ref="B36:C36"/>
    <mergeCell ref="H36:I36"/>
    <mergeCell ref="B37:C37"/>
    <mergeCell ref="G37:I37"/>
    <mergeCell ref="B39:C39"/>
    <mergeCell ref="B40:C40"/>
    <mergeCell ref="B41:C41"/>
    <mergeCell ref="D100:E100"/>
    <mergeCell ref="D80:E80"/>
    <mergeCell ref="E61:G61"/>
    <mergeCell ref="H61:I61"/>
    <mergeCell ref="G75:I75"/>
    <mergeCell ref="C51:C52"/>
    <mergeCell ref="F51:F52"/>
    <mergeCell ref="G51:G52"/>
    <mergeCell ref="B53:C53"/>
    <mergeCell ref="A78:B78"/>
    <mergeCell ref="E71:F71"/>
    <mergeCell ref="B59:C59"/>
    <mergeCell ref="E59:G59"/>
    <mergeCell ref="C64:D64"/>
    <mergeCell ref="D53:F53"/>
    <mergeCell ref="D54:E54"/>
    <mergeCell ref="B66:C67"/>
    <mergeCell ref="B55:D56"/>
    <mergeCell ref="E57:F57"/>
    <mergeCell ref="C57:D58"/>
    <mergeCell ref="J55:J56"/>
    <mergeCell ref="G40:I40"/>
    <mergeCell ref="G21:I21"/>
    <mergeCell ref="G57:H58"/>
    <mergeCell ref="G15:I15"/>
    <mergeCell ref="H44:H45"/>
    <mergeCell ref="G44:G45"/>
    <mergeCell ref="H55:H56"/>
    <mergeCell ref="I55:I56"/>
    <mergeCell ref="B48:E48"/>
    <mergeCell ref="B49:C49"/>
    <mergeCell ref="B50:C50"/>
    <mergeCell ref="D49:E50"/>
    <mergeCell ref="B43:C43"/>
    <mergeCell ref="E45:F45"/>
    <mergeCell ref="B44:C45"/>
  </mergeCells>
  <pageMargins left="0.95" right="0" top="0.25" bottom="0" header="0.3" footer="0.3"/>
  <pageSetup paperSize="9" orientation="portrait" r:id="rId1"/>
  <rowBreaks count="1" manualBreakCount="1">
    <brk id="46" max="9" man="1"/>
  </rowBreaks>
  <drawing r:id="rId2"/>
  <legacyDrawing r:id="rId3"/>
  <oleObjects>
    <mc:AlternateContent xmlns:mc="http://schemas.openxmlformats.org/markup-compatibility/2006">
      <mc:Choice Requires="x14">
        <oleObject progId="Equation.3" shapeId="3073" r:id="rId4">
          <objectPr defaultSize="0" r:id="rId5">
            <anchor moveWithCells="1">
              <from>
                <xdr:col>2</xdr:col>
                <xdr:colOff>142875</xdr:colOff>
                <xdr:row>22</xdr:row>
                <xdr:rowOff>133350</xdr:rowOff>
              </from>
              <to>
                <xdr:col>3</xdr:col>
                <xdr:colOff>514350</xdr:colOff>
                <xdr:row>25</xdr:row>
                <xdr:rowOff>9525</xdr:rowOff>
              </to>
            </anchor>
          </objectPr>
        </oleObject>
      </mc:Choice>
      <mc:Fallback>
        <oleObject progId="Equation.3" shapeId="3073" r:id="rId4"/>
      </mc:Fallback>
    </mc:AlternateContent>
    <mc:AlternateContent xmlns:mc="http://schemas.openxmlformats.org/markup-compatibility/2006">
      <mc:Choice Requires="x14">
        <oleObject progId="Equation.3" shapeId="3074" r:id="rId6">
          <objectPr defaultSize="0" r:id="rId7">
            <anchor moveWithCells="1">
              <from>
                <xdr:col>3</xdr:col>
                <xdr:colOff>85725</xdr:colOff>
                <xdr:row>42</xdr:row>
                <xdr:rowOff>152400</xdr:rowOff>
              </from>
              <to>
                <xdr:col>3</xdr:col>
                <xdr:colOff>704850</xdr:colOff>
                <xdr:row>45</xdr:row>
                <xdr:rowOff>0</xdr:rowOff>
              </to>
            </anchor>
          </objectPr>
        </oleObject>
      </mc:Choice>
      <mc:Fallback>
        <oleObject progId="Equation.3" shapeId="3074" r:id="rId6"/>
      </mc:Fallback>
    </mc:AlternateContent>
    <mc:AlternateContent xmlns:mc="http://schemas.openxmlformats.org/markup-compatibility/2006">
      <mc:Choice Requires="x14">
        <oleObject progId="Equation.3" shapeId="3075" r:id="rId8">
          <objectPr defaultSize="0" r:id="rId9">
            <anchor moveWithCells="1">
              <from>
                <xdr:col>4</xdr:col>
                <xdr:colOff>76200</xdr:colOff>
                <xdr:row>53</xdr:row>
                <xdr:rowOff>171450</xdr:rowOff>
              </from>
              <to>
                <xdr:col>4</xdr:col>
                <xdr:colOff>695325</xdr:colOff>
                <xdr:row>55</xdr:row>
                <xdr:rowOff>171450</xdr:rowOff>
              </to>
            </anchor>
          </objectPr>
        </oleObject>
      </mc:Choice>
      <mc:Fallback>
        <oleObject progId="Equation.3" shapeId="3075" r:id="rId8"/>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46"/>
  <sheetViews>
    <sheetView view="pageBreakPreview" zoomScaleNormal="100" zoomScaleSheetLayoutView="100" workbookViewId="0">
      <selection activeCell="B2" sqref="B2:K2"/>
    </sheetView>
  </sheetViews>
  <sheetFormatPr defaultRowHeight="15" x14ac:dyDescent="0.25"/>
  <cols>
    <col min="1" max="1" width="2.7109375" style="2" bestFit="1" customWidth="1"/>
    <col min="2" max="2" width="9.140625" style="2"/>
    <col min="3" max="3" width="9.28515625" style="2" bestFit="1" customWidth="1"/>
    <col min="4" max="4" width="9.140625" style="2"/>
    <col min="5" max="5" width="11" style="2" customWidth="1"/>
    <col min="6" max="6" width="8.5703125" style="2" customWidth="1"/>
    <col min="7" max="7" width="2.85546875" style="2" bestFit="1" customWidth="1"/>
    <col min="8" max="8" width="9.28515625" style="2" bestFit="1" customWidth="1"/>
    <col min="9" max="9" width="3" style="2" bestFit="1" customWidth="1"/>
    <col min="10" max="10" width="9.7109375" style="2" bestFit="1" customWidth="1"/>
    <col min="11" max="11" width="3" style="2" bestFit="1" customWidth="1"/>
    <col min="12" max="12" width="2.140625" style="2" bestFit="1" customWidth="1"/>
    <col min="13" max="17" width="9.140625" style="2"/>
    <col min="18" max="18" width="11.5703125" style="2" bestFit="1" customWidth="1"/>
    <col min="19" max="16384" width="9.140625" style="2"/>
  </cols>
  <sheetData>
    <row r="2" spans="1:12" ht="15" customHeight="1" x14ac:dyDescent="0.25">
      <c r="B2" s="447" t="s">
        <v>155</v>
      </c>
      <c r="C2" s="448"/>
      <c r="D2" s="448"/>
      <c r="E2" s="448"/>
      <c r="F2" s="448"/>
      <c r="G2" s="448"/>
      <c r="H2" s="448"/>
      <c r="I2" s="448"/>
      <c r="J2" s="448"/>
      <c r="K2" s="449"/>
    </row>
    <row r="3" spans="1:12" x14ac:dyDescent="0.25">
      <c r="A3" s="2" t="s">
        <v>113</v>
      </c>
      <c r="B3" s="434" t="s">
        <v>151</v>
      </c>
      <c r="C3" s="434"/>
      <c r="D3" s="6"/>
      <c r="E3" s="6"/>
      <c r="F3" s="6"/>
      <c r="G3" s="6"/>
      <c r="H3" s="6"/>
    </row>
    <row r="4" spans="1:12" ht="15" customHeight="1" x14ac:dyDescent="0.25">
      <c r="B4" s="431" t="s">
        <v>156</v>
      </c>
      <c r="C4" s="431"/>
      <c r="D4" s="431"/>
      <c r="E4" s="431"/>
      <c r="F4" s="431"/>
      <c r="G4" s="431"/>
      <c r="H4" s="431"/>
      <c r="I4" s="431"/>
      <c r="J4" s="431"/>
      <c r="K4" s="431"/>
      <c r="L4" s="431"/>
    </row>
    <row r="5" spans="1:12" x14ac:dyDescent="0.25">
      <c r="B5" s="431"/>
      <c r="C5" s="431"/>
      <c r="D5" s="431"/>
      <c r="E5" s="431"/>
      <c r="F5" s="431"/>
      <c r="G5" s="431"/>
      <c r="H5" s="431"/>
      <c r="I5" s="431"/>
      <c r="J5" s="431"/>
      <c r="K5" s="431"/>
      <c r="L5" s="431"/>
    </row>
    <row r="6" spans="1:12" x14ac:dyDescent="0.25">
      <c r="B6" s="431"/>
      <c r="C6" s="431"/>
      <c r="D6" s="431"/>
      <c r="E6" s="431"/>
      <c r="F6" s="431"/>
      <c r="G6" s="431"/>
      <c r="H6" s="431"/>
      <c r="I6" s="431"/>
      <c r="J6" s="431"/>
      <c r="K6" s="431"/>
      <c r="L6" s="431"/>
    </row>
    <row r="7" spans="1:12" x14ac:dyDescent="0.25">
      <c r="B7" s="431"/>
      <c r="C7" s="431"/>
      <c r="D7" s="431"/>
      <c r="E7" s="431"/>
      <c r="F7" s="431"/>
      <c r="G7" s="431"/>
      <c r="H7" s="431"/>
      <c r="I7" s="431"/>
      <c r="J7" s="431"/>
      <c r="K7" s="431"/>
      <c r="L7" s="431"/>
    </row>
    <row r="8" spans="1:12" x14ac:dyDescent="0.25">
      <c r="B8" s="431"/>
      <c r="C8" s="431"/>
      <c r="D8" s="431"/>
      <c r="E8" s="431"/>
      <c r="F8" s="431"/>
      <c r="G8" s="431"/>
      <c r="H8" s="431"/>
      <c r="I8" s="431"/>
      <c r="J8" s="431"/>
      <c r="K8" s="431"/>
      <c r="L8" s="431"/>
    </row>
    <row r="9" spans="1:12" x14ac:dyDescent="0.25">
      <c r="B9" s="431"/>
      <c r="C9" s="431"/>
      <c r="D9" s="431"/>
      <c r="E9" s="431"/>
      <c r="F9" s="431"/>
      <c r="G9" s="431"/>
      <c r="H9" s="431"/>
      <c r="I9" s="431"/>
      <c r="J9" s="431"/>
      <c r="K9" s="431"/>
      <c r="L9" s="431"/>
    </row>
    <row r="10" spans="1:12" x14ac:dyDescent="0.25">
      <c r="B10" s="431"/>
      <c r="C10" s="431"/>
      <c r="D10" s="431"/>
      <c r="E10" s="431"/>
      <c r="F10" s="431"/>
      <c r="G10" s="431"/>
      <c r="H10" s="431"/>
      <c r="I10" s="431"/>
      <c r="J10" s="431"/>
      <c r="K10" s="431"/>
      <c r="L10" s="431"/>
    </row>
    <row r="11" spans="1:12" x14ac:dyDescent="0.25">
      <c r="B11" s="431"/>
      <c r="C11" s="431"/>
      <c r="D11" s="431"/>
      <c r="E11" s="431"/>
      <c r="F11" s="431"/>
      <c r="G11" s="431"/>
      <c r="H11" s="431"/>
      <c r="I11" s="431"/>
      <c r="J11" s="431"/>
      <c r="K11" s="431"/>
      <c r="L11" s="431"/>
    </row>
    <row r="12" spans="1:12" x14ac:dyDescent="0.25">
      <c r="B12" s="431"/>
      <c r="C12" s="431"/>
      <c r="D12" s="431"/>
      <c r="E12" s="431"/>
      <c r="F12" s="431"/>
      <c r="G12" s="431"/>
      <c r="H12" s="431"/>
      <c r="I12" s="431"/>
      <c r="J12" s="431"/>
      <c r="K12" s="431"/>
      <c r="L12" s="431"/>
    </row>
    <row r="13" spans="1:12" x14ac:dyDescent="0.25">
      <c r="A13" s="2" t="s">
        <v>116</v>
      </c>
      <c r="B13" s="438" t="s">
        <v>117</v>
      </c>
      <c r="C13" s="438"/>
      <c r="D13" s="438"/>
    </row>
    <row r="14" spans="1:12" x14ac:dyDescent="0.25">
      <c r="B14" s="431" t="s">
        <v>157</v>
      </c>
      <c r="C14" s="431"/>
      <c r="D14" s="431"/>
      <c r="E14" s="431"/>
      <c r="G14" s="2" t="s">
        <v>2</v>
      </c>
      <c r="H14" s="51">
        <v>0.3</v>
      </c>
      <c r="I14" s="512">
        <v>1</v>
      </c>
      <c r="J14" s="512"/>
    </row>
    <row r="15" spans="1:12" x14ac:dyDescent="0.25">
      <c r="B15" s="431" t="s">
        <v>158</v>
      </c>
      <c r="C15" s="431"/>
      <c r="D15" s="431"/>
      <c r="E15" s="431"/>
      <c r="G15" s="2" t="s">
        <v>2</v>
      </c>
      <c r="H15" s="51">
        <f>0.6</f>
        <v>0.6</v>
      </c>
      <c r="I15" s="492">
        <v>0.9</v>
      </c>
      <c r="J15" s="492"/>
    </row>
    <row r="16" spans="1:12" x14ac:dyDescent="0.25">
      <c r="B16" s="431" t="s">
        <v>159</v>
      </c>
      <c r="C16" s="431"/>
      <c r="D16" s="431"/>
      <c r="E16" s="431"/>
      <c r="F16" s="431"/>
      <c r="G16" s="2" t="s">
        <v>2</v>
      </c>
      <c r="H16" s="68">
        <v>1</v>
      </c>
      <c r="I16" s="68"/>
    </row>
    <row r="17" spans="1:19" x14ac:dyDescent="0.25">
      <c r="B17" s="431" t="s">
        <v>160</v>
      </c>
      <c r="C17" s="431"/>
      <c r="D17" s="431"/>
      <c r="G17" s="2" t="s">
        <v>2</v>
      </c>
      <c r="H17" s="510">
        <f>(H15+I15)/2-0.05</f>
        <v>0.7</v>
      </c>
      <c r="I17" s="510"/>
    </row>
    <row r="18" spans="1:19" x14ac:dyDescent="0.25">
      <c r="A18" s="2" t="s">
        <v>120</v>
      </c>
      <c r="B18" s="438" t="s">
        <v>121</v>
      </c>
      <c r="C18" s="438"/>
      <c r="D18" s="438"/>
    </row>
    <row r="19" spans="1:19" x14ac:dyDescent="0.25">
      <c r="B19" s="5" t="s">
        <v>161</v>
      </c>
      <c r="C19" s="5" t="s">
        <v>162</v>
      </c>
      <c r="D19" s="431" t="s">
        <v>169</v>
      </c>
      <c r="E19" s="431"/>
      <c r="F19" s="2" t="s">
        <v>170</v>
      </c>
      <c r="G19" s="508">
        <f>0.013</f>
        <v>1.2999999999999999E-2</v>
      </c>
      <c r="H19" s="508"/>
    </row>
    <row r="20" spans="1:19" x14ac:dyDescent="0.25">
      <c r="B20" s="428" t="s">
        <v>163</v>
      </c>
      <c r="C20" s="428"/>
      <c r="D20" s="428"/>
      <c r="G20" s="2" t="s">
        <v>2</v>
      </c>
      <c r="H20" s="481">
        <f>H17</f>
        <v>0.7</v>
      </c>
      <c r="I20" s="481"/>
      <c r="J20" s="481"/>
    </row>
    <row r="21" spans="1:19" x14ac:dyDescent="0.25">
      <c r="B21" s="428" t="s">
        <v>164</v>
      </c>
      <c r="C21" s="428"/>
      <c r="D21" s="428"/>
      <c r="E21" s="431" t="s">
        <v>165</v>
      </c>
      <c r="F21" s="431"/>
      <c r="G21" s="2" t="s">
        <v>2</v>
      </c>
      <c r="H21" s="60">
        <f>'Intake Design'!E23</f>
        <v>0.15429999999999999</v>
      </c>
      <c r="I21" s="506">
        <f>H17</f>
        <v>0.7</v>
      </c>
      <c r="J21" s="506"/>
    </row>
    <row r="22" spans="1:19" x14ac:dyDescent="0.25">
      <c r="G22" s="2" t="s">
        <v>2</v>
      </c>
      <c r="H22" s="69">
        <f>ROUND(H21/I21,4)</f>
        <v>0.22040000000000001</v>
      </c>
      <c r="I22" s="54" t="s">
        <v>99</v>
      </c>
    </row>
    <row r="23" spans="1:19" ht="18" x14ac:dyDescent="0.25">
      <c r="B23" s="428" t="s">
        <v>166</v>
      </c>
      <c r="C23" s="428"/>
      <c r="D23" s="428"/>
      <c r="E23" s="57" t="s">
        <v>101</v>
      </c>
      <c r="F23" s="62" t="s">
        <v>143</v>
      </c>
      <c r="G23" s="428" t="s">
        <v>2</v>
      </c>
      <c r="H23" s="511">
        <f>H22</f>
        <v>0.22040000000000001</v>
      </c>
      <c r="I23" s="480" t="s">
        <v>99</v>
      </c>
    </row>
    <row r="24" spans="1:19" x14ac:dyDescent="0.25">
      <c r="F24" s="70">
        <f>4</f>
        <v>4</v>
      </c>
      <c r="G24" s="428"/>
      <c r="H24" s="428"/>
      <c r="I24" s="480"/>
    </row>
    <row r="25" spans="1:19" x14ac:dyDescent="0.25">
      <c r="D25" s="428" t="s">
        <v>144</v>
      </c>
      <c r="E25" s="428"/>
      <c r="F25" s="460" t="str">
        <f>""&amp;H23&amp;" x "&amp;F24</f>
        <v>0.2204 x 4</v>
      </c>
      <c r="G25" s="460"/>
      <c r="H25" s="509">
        <f>ROUND((H23*F24/3.14)^0.5,4)</f>
        <v>0.52990000000000004</v>
      </c>
      <c r="I25" s="428" t="s">
        <v>104</v>
      </c>
      <c r="J25" s="507">
        <f>0.55</f>
        <v>0.55000000000000004</v>
      </c>
    </row>
    <row r="26" spans="1:19" x14ac:dyDescent="0.25">
      <c r="D26" s="428"/>
      <c r="E26" s="428"/>
      <c r="F26" s="2" t="s">
        <v>101</v>
      </c>
      <c r="H26" s="509"/>
      <c r="I26" s="428"/>
      <c r="J26" s="507"/>
    </row>
    <row r="27" spans="1:19" x14ac:dyDescent="0.25">
      <c r="B27" s="428" t="s">
        <v>167</v>
      </c>
      <c r="C27" s="428"/>
      <c r="D27" s="428"/>
      <c r="S27" s="2">
        <f>3.14*J25</f>
        <v>1.7270000000000003</v>
      </c>
    </row>
    <row r="28" spans="1:19" ht="15" customHeight="1" x14ac:dyDescent="0.25">
      <c r="B28" s="428"/>
      <c r="C28" s="428"/>
      <c r="D28" s="428"/>
    </row>
    <row r="30" spans="1:19" x14ac:dyDescent="0.25">
      <c r="B30" s="37" t="s">
        <v>168</v>
      </c>
      <c r="E30" s="57" t="str">
        <f>""&amp;H17&amp;" x "&amp;H17</f>
        <v>0.7 x 0.7</v>
      </c>
      <c r="F30" s="476" t="str">
        <f>" x "&amp;G19&amp;" x "&amp;G19</f>
        <v xml:space="preserve"> x 0.013 x 0.013</v>
      </c>
      <c r="G30" s="476"/>
      <c r="H30" s="476"/>
      <c r="I30" s="428" t="s">
        <v>2</v>
      </c>
      <c r="J30" s="505">
        <f>(H17*H17*G19*G19)/(J34/J35)^(4/3)</f>
        <v>1.1668432558894941E-3</v>
      </c>
      <c r="R30" s="2">
        <f>1/J30</f>
        <v>857.01313775661481</v>
      </c>
    </row>
    <row r="31" spans="1:19" ht="16.5" x14ac:dyDescent="0.25">
      <c r="E31" s="430" t="str">
        <f>" ( "&amp;J34&amp;" / "&amp;J35&amp;" ) "</f>
        <v xml:space="preserve"> ( 0.55 / 4 ) </v>
      </c>
      <c r="F31" s="430"/>
      <c r="G31" s="72" t="s">
        <v>177</v>
      </c>
      <c r="I31" s="428"/>
      <c r="J31" s="505"/>
    </row>
    <row r="32" spans="1:19" ht="16.5" x14ac:dyDescent="0.25">
      <c r="E32" s="7"/>
      <c r="F32" s="7"/>
      <c r="G32" s="72"/>
      <c r="I32" s="2" t="s">
        <v>2</v>
      </c>
      <c r="J32" s="73">
        <f>ROUND(J30*10000,4)</f>
        <v>11.6684</v>
      </c>
      <c r="K32" s="2">
        <v>10</v>
      </c>
      <c r="L32" s="284" t="s">
        <v>585</v>
      </c>
    </row>
    <row r="33" spans="1:15" x14ac:dyDescent="0.25">
      <c r="H33" s="7" t="s">
        <v>178</v>
      </c>
      <c r="I33" s="74" t="s">
        <v>179</v>
      </c>
      <c r="J33" s="37">
        <f>ROUND(1/J30,0)</f>
        <v>857</v>
      </c>
    </row>
    <row r="34" spans="1:15" x14ac:dyDescent="0.25">
      <c r="A34" s="428"/>
      <c r="B34" s="428" t="s">
        <v>171</v>
      </c>
      <c r="C34" s="21" t="s">
        <v>172</v>
      </c>
      <c r="D34" s="460" t="s">
        <v>174</v>
      </c>
      <c r="E34" s="460"/>
      <c r="F34" s="21">
        <v>1</v>
      </c>
      <c r="G34" s="428" t="s">
        <v>2</v>
      </c>
      <c r="H34" s="21" t="s">
        <v>176</v>
      </c>
      <c r="I34" s="428" t="s">
        <v>2</v>
      </c>
      <c r="J34" s="71">
        <f>J25</f>
        <v>0.55000000000000004</v>
      </c>
    </row>
    <row r="35" spans="1:15" x14ac:dyDescent="0.25">
      <c r="A35" s="428"/>
      <c r="B35" s="428"/>
      <c r="C35" s="2" t="s">
        <v>173</v>
      </c>
      <c r="D35" s="428">
        <v>4</v>
      </c>
      <c r="E35" s="428"/>
      <c r="F35" s="2" t="s">
        <v>175</v>
      </c>
      <c r="G35" s="428"/>
      <c r="H35" s="5">
        <v>4</v>
      </c>
      <c r="I35" s="428"/>
      <c r="J35" s="2">
        <f>H35</f>
        <v>4</v>
      </c>
    </row>
    <row r="37" spans="1:15" ht="15" customHeight="1" x14ac:dyDescent="0.25">
      <c r="B37" s="430" t="s">
        <v>180</v>
      </c>
      <c r="C37" s="430"/>
      <c r="D37" s="61">
        <f>100</f>
        <v>100</v>
      </c>
      <c r="E37" s="503">
        <f>ROUND(D37/J33,3)</f>
        <v>0.11700000000000001</v>
      </c>
    </row>
    <row r="38" spans="1:15" x14ac:dyDescent="0.25">
      <c r="B38" s="430"/>
      <c r="C38" s="430"/>
      <c r="D38" s="2">
        <f>J33</f>
        <v>857</v>
      </c>
      <c r="E38" s="503"/>
    </row>
    <row r="39" spans="1:15" x14ac:dyDescent="0.25">
      <c r="B39" s="430" t="s">
        <v>181</v>
      </c>
      <c r="C39" s="430"/>
      <c r="D39" s="430"/>
      <c r="E39" s="2" t="str">
        <f>" ( "&amp;'Pen Stock &amp; Bell Mouth'!C64&amp;" - "&amp;'Pen Stock &amp; Bell Mouth'!E71:F71&amp;" ) ="</f>
        <v xml:space="preserve"> ( 27 - 3 ) =</v>
      </c>
      <c r="F39" s="504">
        <f>'Pen Stock &amp; Bell Mouth'!C64-'Pen Stock &amp; Bell Mouth'!E71</f>
        <v>24</v>
      </c>
      <c r="G39" s="504"/>
    </row>
    <row r="40" spans="1:15" ht="15" customHeight="1" x14ac:dyDescent="0.25">
      <c r="B40" s="430" t="s">
        <v>182</v>
      </c>
      <c r="C40" s="430"/>
      <c r="D40" s="430"/>
      <c r="E40" s="430"/>
      <c r="F40" s="428" t="str">
        <f>" ( "&amp;F39&amp;" - "&amp;E37&amp;" ) = "</f>
        <v xml:space="preserve"> ( 24 - 0.117 ) = </v>
      </c>
      <c r="G40" s="428"/>
      <c r="H40" s="428"/>
      <c r="I40" s="502">
        <f>F39-E37</f>
        <v>23.882999999999999</v>
      </c>
      <c r="J40" s="502"/>
    </row>
    <row r="41" spans="1:15" x14ac:dyDescent="0.25">
      <c r="A41" s="2" t="s">
        <v>128</v>
      </c>
      <c r="B41" s="438" t="s">
        <v>129</v>
      </c>
      <c r="C41" s="438"/>
      <c r="O41" s="2">
        <f>27-23.88</f>
        <v>3.120000000000001</v>
      </c>
    </row>
    <row r="42" spans="1:15" x14ac:dyDescent="0.25">
      <c r="B42" s="31" t="s">
        <v>21</v>
      </c>
      <c r="C42" s="461" t="s">
        <v>58</v>
      </c>
      <c r="D42" s="461"/>
      <c r="E42" s="461"/>
      <c r="F42" s="461" t="s">
        <v>79</v>
      </c>
      <c r="G42" s="461"/>
    </row>
    <row r="43" spans="1:15" x14ac:dyDescent="0.25">
      <c r="B43" s="12">
        <v>1</v>
      </c>
      <c r="C43" s="440" t="s">
        <v>183</v>
      </c>
      <c r="D43" s="440"/>
      <c r="E43" s="440"/>
      <c r="F43" s="494">
        <f>'Pen Stock &amp; Bell Mouth'!G19</f>
        <v>1</v>
      </c>
      <c r="G43" s="494"/>
    </row>
    <row r="44" spans="1:15" x14ac:dyDescent="0.25">
      <c r="B44" s="12">
        <v>2</v>
      </c>
      <c r="C44" s="440" t="s">
        <v>184</v>
      </c>
      <c r="D44" s="440"/>
      <c r="E44" s="440"/>
      <c r="F44" s="496">
        <f>J25</f>
        <v>0.55000000000000004</v>
      </c>
      <c r="G44" s="440"/>
    </row>
    <row r="45" spans="1:15" x14ac:dyDescent="0.25">
      <c r="B45" s="12">
        <v>3</v>
      </c>
      <c r="C45" s="440" t="s">
        <v>185</v>
      </c>
      <c r="D45" s="440"/>
      <c r="E45" s="440"/>
      <c r="F45" s="501">
        <f>'Pen Stock &amp; Bell Mouth'!C78</f>
        <v>24</v>
      </c>
      <c r="G45" s="501"/>
    </row>
    <row r="46" spans="1:15" x14ac:dyDescent="0.25">
      <c r="B46" s="12">
        <v>4</v>
      </c>
      <c r="C46" s="440" t="s">
        <v>186</v>
      </c>
      <c r="D46" s="440"/>
      <c r="E46" s="440"/>
      <c r="F46" s="496">
        <f>I40</f>
        <v>23.882999999999999</v>
      </c>
      <c r="G46" s="496"/>
    </row>
  </sheetData>
  <mergeCells count="57">
    <mergeCell ref="B2:K2"/>
    <mergeCell ref="B3:C3"/>
    <mergeCell ref="B13:D13"/>
    <mergeCell ref="B14:E14"/>
    <mergeCell ref="I14:J14"/>
    <mergeCell ref="B4:L12"/>
    <mergeCell ref="B15:E15"/>
    <mergeCell ref="I15:J15"/>
    <mergeCell ref="I23:I24"/>
    <mergeCell ref="B16:F16"/>
    <mergeCell ref="H17:I17"/>
    <mergeCell ref="B17:D17"/>
    <mergeCell ref="B18:D18"/>
    <mergeCell ref="B21:D21"/>
    <mergeCell ref="E21:F21"/>
    <mergeCell ref="B23:D23"/>
    <mergeCell ref="G23:G24"/>
    <mergeCell ref="H23:H24"/>
    <mergeCell ref="B27:D28"/>
    <mergeCell ref="G19:H19"/>
    <mergeCell ref="F30:H30"/>
    <mergeCell ref="D34:E34"/>
    <mergeCell ref="G34:G35"/>
    <mergeCell ref="B34:B35"/>
    <mergeCell ref="D25:E26"/>
    <mergeCell ref="F25:G25"/>
    <mergeCell ref="H25:H26"/>
    <mergeCell ref="I25:I26"/>
    <mergeCell ref="I21:J21"/>
    <mergeCell ref="J25:J26"/>
    <mergeCell ref="D19:E19"/>
    <mergeCell ref="B20:D20"/>
    <mergeCell ref="H20:J20"/>
    <mergeCell ref="I34:I35"/>
    <mergeCell ref="E31:F31"/>
    <mergeCell ref="I30:I31"/>
    <mergeCell ref="A34:A35"/>
    <mergeCell ref="J30:J31"/>
    <mergeCell ref="D35:E35"/>
    <mergeCell ref="B37:C38"/>
    <mergeCell ref="E37:E38"/>
    <mergeCell ref="B39:D39"/>
    <mergeCell ref="F39:G39"/>
    <mergeCell ref="B40:E40"/>
    <mergeCell ref="F40:H40"/>
    <mergeCell ref="I40:J40"/>
    <mergeCell ref="B41:C41"/>
    <mergeCell ref="C42:E42"/>
    <mergeCell ref="F42:G42"/>
    <mergeCell ref="C43:E43"/>
    <mergeCell ref="F43:G43"/>
    <mergeCell ref="C44:E44"/>
    <mergeCell ref="F44:G44"/>
    <mergeCell ref="C45:E45"/>
    <mergeCell ref="F45:G45"/>
    <mergeCell ref="C46:E46"/>
    <mergeCell ref="F46:G46"/>
  </mergeCells>
  <pageMargins left="0.7" right="0.7" top="0.5" bottom="0" header="0.3" footer="0.3"/>
  <pageSetup paperSize="9" orientation="portrait" r:id="rId1"/>
  <drawing r:id="rId2"/>
  <legacyDrawing r:id="rId3"/>
  <oleObjects>
    <mc:AlternateContent xmlns:mc="http://schemas.openxmlformats.org/markup-compatibility/2006">
      <mc:Choice Requires="x14">
        <oleObject progId="Equation.3" shapeId="6145" r:id="rId4">
          <objectPr defaultSize="0" r:id="rId5">
            <anchor moveWithCells="1">
              <from>
                <xdr:col>4</xdr:col>
                <xdr:colOff>152400</xdr:colOff>
                <xdr:row>26</xdr:row>
                <xdr:rowOff>9525</xdr:rowOff>
              </from>
              <to>
                <xdr:col>5</xdr:col>
                <xdr:colOff>447675</xdr:colOff>
                <xdr:row>28</xdr:row>
                <xdr:rowOff>57150</xdr:rowOff>
              </to>
            </anchor>
          </objectPr>
        </oleObject>
      </mc:Choice>
      <mc:Fallback>
        <oleObject progId="Equation.3" shapeId="6145" r:id="rId4"/>
      </mc:Fallback>
    </mc:AlternateContent>
    <mc:AlternateContent xmlns:mc="http://schemas.openxmlformats.org/markup-compatibility/2006">
      <mc:Choice Requires="x14">
        <oleObject progId="Equation.3" shapeId="6146" r:id="rId6">
          <objectPr defaultSize="0" r:id="rId7">
            <anchor moveWithCells="1">
              <from>
                <xdr:col>1</xdr:col>
                <xdr:colOff>142875</xdr:colOff>
                <xdr:row>27</xdr:row>
                <xdr:rowOff>180975</xdr:rowOff>
              </from>
              <to>
                <xdr:col>2</xdr:col>
                <xdr:colOff>495300</xdr:colOff>
                <xdr:row>31</xdr:row>
                <xdr:rowOff>57150</xdr:rowOff>
              </to>
            </anchor>
          </objectPr>
        </oleObject>
      </mc:Choice>
      <mc:Fallback>
        <oleObject progId="Equation.3" shapeId="6146" r:id="rId6"/>
      </mc:Fallback>
    </mc:AlternateContent>
    <mc:AlternateContent xmlns:mc="http://schemas.openxmlformats.org/markup-compatibility/2006">
      <mc:Choice Requires="x14">
        <oleObject progId="Equation.3" shapeId="6147" r:id="rId8">
          <objectPr defaultSize="0" r:id="rId9">
            <anchor moveWithCells="1">
              <from>
                <xdr:col>2</xdr:col>
                <xdr:colOff>571500</xdr:colOff>
                <xdr:row>28</xdr:row>
                <xdr:rowOff>104775</xdr:rowOff>
              </from>
              <to>
                <xdr:col>4</xdr:col>
                <xdr:colOff>0</xdr:colOff>
                <xdr:row>31</xdr:row>
                <xdr:rowOff>47625</xdr:rowOff>
              </to>
            </anchor>
          </objectPr>
        </oleObject>
      </mc:Choice>
      <mc:Fallback>
        <oleObject progId="Equation.3" shapeId="6147" r:id="rId8"/>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3"/>
  <sheetViews>
    <sheetView view="pageBreakPreview" zoomScaleNormal="100" zoomScaleSheetLayoutView="100" workbookViewId="0">
      <selection activeCell="B2" sqref="B2:J2"/>
    </sheetView>
  </sheetViews>
  <sheetFormatPr defaultRowHeight="15" x14ac:dyDescent="0.25"/>
  <cols>
    <col min="1" max="1" width="2.7109375" style="2" bestFit="1" customWidth="1"/>
    <col min="2" max="2" width="9.140625" style="2"/>
    <col min="3" max="3" width="9.28515625" style="2" bestFit="1" customWidth="1"/>
    <col min="4" max="4" width="9" style="2" bestFit="1" customWidth="1"/>
    <col min="5" max="5" width="10" style="2" bestFit="1" customWidth="1"/>
    <col min="6" max="6" width="9" style="2" bestFit="1" customWidth="1"/>
    <col min="7" max="7" width="10" style="2" bestFit="1" customWidth="1"/>
    <col min="8" max="8" width="1.7109375" style="2" bestFit="1" customWidth="1"/>
    <col min="9" max="9" width="8.85546875" style="2" customWidth="1"/>
    <col min="10" max="10" width="10.5703125" style="2" bestFit="1" customWidth="1"/>
    <col min="11" max="11" width="3" style="2" bestFit="1" customWidth="1"/>
    <col min="12" max="12" width="2.140625" style="2" bestFit="1" customWidth="1"/>
    <col min="13" max="17" width="9.140625" style="2"/>
    <col min="18" max="18" width="11.5703125" style="2" bestFit="1" customWidth="1"/>
    <col min="19" max="16384" width="9.140625" style="2"/>
  </cols>
  <sheetData>
    <row r="2" spans="1:12" ht="15" customHeight="1" x14ac:dyDescent="0.25">
      <c r="B2" s="447" t="s">
        <v>187</v>
      </c>
      <c r="C2" s="448"/>
      <c r="D2" s="448"/>
      <c r="E2" s="448"/>
      <c r="F2" s="448"/>
      <c r="G2" s="448"/>
      <c r="H2" s="448"/>
      <c r="I2" s="448"/>
      <c r="J2" s="448"/>
      <c r="K2" s="67"/>
      <c r="L2" s="67"/>
    </row>
    <row r="3" spans="1:12" x14ac:dyDescent="0.25">
      <c r="A3" s="2" t="s">
        <v>113</v>
      </c>
      <c r="B3" s="434" t="s">
        <v>188</v>
      </c>
      <c r="C3" s="434"/>
      <c r="D3" s="6"/>
      <c r="E3" s="6"/>
      <c r="F3" s="6"/>
      <c r="G3" s="6"/>
      <c r="H3" s="6"/>
    </row>
    <row r="4" spans="1:12" ht="15" customHeight="1" x14ac:dyDescent="0.25">
      <c r="B4" s="431" t="s">
        <v>189</v>
      </c>
      <c r="C4" s="431"/>
      <c r="D4" s="431"/>
      <c r="E4" s="431"/>
      <c r="F4" s="431"/>
      <c r="G4" s="431"/>
      <c r="H4" s="431"/>
      <c r="I4" s="431"/>
      <c r="J4" s="431"/>
      <c r="K4" s="6"/>
      <c r="L4" s="6"/>
    </row>
    <row r="5" spans="1:12" x14ac:dyDescent="0.25">
      <c r="B5" s="431"/>
      <c r="C5" s="431"/>
      <c r="D5" s="431"/>
      <c r="E5" s="431"/>
      <c r="F5" s="431"/>
      <c r="G5" s="431"/>
      <c r="H5" s="431"/>
      <c r="I5" s="431"/>
      <c r="J5" s="431"/>
      <c r="K5" s="6"/>
      <c r="L5" s="6"/>
    </row>
    <row r="6" spans="1:12" x14ac:dyDescent="0.25">
      <c r="B6" s="6"/>
      <c r="C6" s="6"/>
      <c r="D6" s="6"/>
      <c r="E6" s="6"/>
      <c r="F6" s="6"/>
      <c r="G6" s="6"/>
      <c r="H6" s="6"/>
      <c r="I6" s="6"/>
      <c r="J6" s="6"/>
      <c r="K6" s="6"/>
      <c r="L6" s="6"/>
    </row>
    <row r="7" spans="1:12" ht="15" customHeight="1" x14ac:dyDescent="0.25">
      <c r="B7" s="431" t="s">
        <v>190</v>
      </c>
      <c r="C7" s="431"/>
      <c r="D7" s="431"/>
      <c r="E7" s="431"/>
      <c r="F7" s="431"/>
      <c r="G7" s="431"/>
      <c r="H7" s="431"/>
      <c r="I7" s="431"/>
      <c r="J7" s="431"/>
      <c r="K7" s="6"/>
      <c r="L7" s="6"/>
    </row>
    <row r="8" spans="1:12" x14ac:dyDescent="0.25">
      <c r="B8" s="431"/>
      <c r="C8" s="431"/>
      <c r="D8" s="431"/>
      <c r="E8" s="431"/>
      <c r="F8" s="431"/>
      <c r="G8" s="431"/>
      <c r="H8" s="431"/>
      <c r="I8" s="431"/>
      <c r="J8" s="431"/>
      <c r="K8" s="6"/>
      <c r="L8" s="6"/>
    </row>
    <row r="9" spans="1:12" x14ac:dyDescent="0.25">
      <c r="B9" s="6"/>
      <c r="C9" s="6"/>
      <c r="D9" s="6"/>
      <c r="E9" s="6"/>
      <c r="F9" s="6"/>
      <c r="G9" s="6"/>
      <c r="H9" s="6"/>
      <c r="I9" s="6"/>
      <c r="J9" s="6"/>
      <c r="K9" s="6"/>
      <c r="L9" s="6"/>
    </row>
    <row r="10" spans="1:12" ht="15" customHeight="1" x14ac:dyDescent="0.25">
      <c r="B10" s="431" t="s">
        <v>191</v>
      </c>
      <c r="C10" s="431"/>
      <c r="D10" s="431"/>
      <c r="E10" s="431"/>
      <c r="F10" s="431"/>
      <c r="G10" s="431"/>
      <c r="H10" s="431"/>
      <c r="I10" s="431"/>
      <c r="J10" s="431"/>
      <c r="K10" s="6"/>
      <c r="L10" s="6"/>
    </row>
    <row r="11" spans="1:12" x14ac:dyDescent="0.25">
      <c r="B11" s="431"/>
      <c r="C11" s="431"/>
      <c r="D11" s="431"/>
      <c r="E11" s="431"/>
      <c r="F11" s="431"/>
      <c r="G11" s="431"/>
      <c r="H11" s="431"/>
      <c r="I11" s="431"/>
      <c r="J11" s="431"/>
      <c r="K11" s="6"/>
      <c r="L11" s="6"/>
    </row>
    <row r="12" spans="1:12" x14ac:dyDescent="0.25">
      <c r="B12" s="6"/>
      <c r="C12" s="6"/>
      <c r="D12" s="6"/>
      <c r="E12" s="6"/>
      <c r="F12" s="6"/>
      <c r="G12" s="6"/>
      <c r="H12" s="6"/>
      <c r="I12" s="6"/>
      <c r="J12" s="6"/>
      <c r="K12" s="6"/>
      <c r="L12" s="6"/>
    </row>
    <row r="13" spans="1:12" x14ac:dyDescent="0.25">
      <c r="A13" s="2" t="s">
        <v>116</v>
      </c>
      <c r="B13" s="434" t="s">
        <v>192</v>
      </c>
      <c r="C13" s="434"/>
      <c r="D13" s="67"/>
    </row>
    <row r="14" spans="1:12" x14ac:dyDescent="0.25">
      <c r="B14" s="430" t="s">
        <v>193</v>
      </c>
      <c r="C14" s="430"/>
      <c r="D14" s="419">
        <v>0.5</v>
      </c>
      <c r="E14" s="431" t="s">
        <v>194</v>
      </c>
      <c r="F14" s="431"/>
      <c r="G14" s="431"/>
      <c r="H14" s="431"/>
      <c r="I14" s="76">
        <f>3</f>
        <v>3</v>
      </c>
      <c r="J14" s="75">
        <v>15</v>
      </c>
    </row>
    <row r="15" spans="1:12" x14ac:dyDescent="0.25">
      <c r="B15" s="6"/>
      <c r="C15" s="7" t="s">
        <v>2</v>
      </c>
      <c r="D15" s="420">
        <f>D14</f>
        <v>0.5</v>
      </c>
      <c r="E15" s="78">
        <f>'Intake Design'!F18</f>
        <v>10</v>
      </c>
      <c r="F15" s="520">
        <f>D15*E15</f>
        <v>5</v>
      </c>
      <c r="G15" s="520"/>
      <c r="H15" s="51"/>
      <c r="I15" s="492"/>
      <c r="J15" s="492"/>
    </row>
    <row r="16" spans="1:12" x14ac:dyDescent="0.25">
      <c r="B16" s="430" t="s">
        <v>195</v>
      </c>
      <c r="C16" s="430"/>
      <c r="D16" s="519">
        <f>10</f>
        <v>10</v>
      </c>
      <c r="E16" s="519"/>
      <c r="F16" s="519"/>
      <c r="H16" s="68"/>
      <c r="I16" s="68"/>
    </row>
    <row r="17" spans="1:12" x14ac:dyDescent="0.25">
      <c r="B17" s="428" t="s">
        <v>196</v>
      </c>
      <c r="C17" s="428"/>
      <c r="D17" s="519">
        <f>20</f>
        <v>20</v>
      </c>
      <c r="E17" s="519"/>
      <c r="F17" s="519"/>
      <c r="H17" s="510"/>
      <c r="I17" s="510"/>
    </row>
    <row r="18" spans="1:12" x14ac:dyDescent="0.25">
      <c r="B18" s="67"/>
      <c r="C18" s="67"/>
      <c r="D18" s="67"/>
    </row>
    <row r="19" spans="1:12" ht="15" customHeight="1" x14ac:dyDescent="0.25">
      <c r="A19" s="2" t="s">
        <v>120</v>
      </c>
      <c r="B19" s="438" t="s">
        <v>197</v>
      </c>
      <c r="C19" s="438"/>
      <c r="D19" s="438"/>
      <c r="E19" s="438"/>
      <c r="G19" s="508"/>
      <c r="H19" s="508"/>
    </row>
    <row r="20" spans="1:12" ht="15" customHeight="1" x14ac:dyDescent="0.25">
      <c r="B20" s="430" t="s">
        <v>193</v>
      </c>
      <c r="C20" s="430"/>
      <c r="D20" s="33">
        <f>F15</f>
        <v>5</v>
      </c>
      <c r="H20" s="521"/>
      <c r="I20" s="521"/>
    </row>
    <row r="21" spans="1:12" x14ac:dyDescent="0.25">
      <c r="B21" s="428" t="s">
        <v>198</v>
      </c>
      <c r="C21" s="428"/>
      <c r="D21" s="428"/>
      <c r="E21" s="79">
        <f>D16-2</f>
        <v>8</v>
      </c>
      <c r="F21" s="6"/>
      <c r="H21" s="60"/>
      <c r="I21" s="506"/>
      <c r="J21" s="506"/>
    </row>
    <row r="22" spans="1:12" x14ac:dyDescent="0.25">
      <c r="B22" s="428" t="s">
        <v>199</v>
      </c>
      <c r="C22" s="428"/>
      <c r="D22" s="79">
        <f>1</f>
        <v>1</v>
      </c>
      <c r="H22" s="69"/>
      <c r="I22" s="54"/>
    </row>
    <row r="23" spans="1:12" ht="15" customHeight="1" x14ac:dyDescent="0.25">
      <c r="B23" s="428" t="s">
        <v>200</v>
      </c>
      <c r="C23" s="428"/>
      <c r="D23" s="79">
        <v>0.5</v>
      </c>
      <c r="E23" s="57"/>
      <c r="F23" s="62"/>
      <c r="G23" s="6"/>
      <c r="H23" s="80"/>
      <c r="I23" s="53"/>
    </row>
    <row r="24" spans="1:12" x14ac:dyDescent="0.25">
      <c r="B24" s="431" t="s">
        <v>201</v>
      </c>
      <c r="C24" s="431"/>
      <c r="D24" s="431"/>
      <c r="E24" s="431"/>
      <c r="F24" s="431"/>
      <c r="G24" s="431"/>
      <c r="H24" s="431"/>
      <c r="I24" s="431"/>
      <c r="J24" s="431"/>
      <c r="K24" s="431"/>
      <c r="L24" s="431"/>
    </row>
    <row r="25" spans="1:12" x14ac:dyDescent="0.25">
      <c r="B25" s="430" t="s">
        <v>202</v>
      </c>
      <c r="C25" s="430"/>
      <c r="D25" s="430"/>
      <c r="E25" s="428" t="str">
        <f>" ( "&amp;'Pen Stock &amp; Bell Mouth'!C72&amp;" - "&amp;'Gravity Main'!F46-'Jack Well'!D22&amp;" ) = "</f>
        <v xml:space="preserve"> ( 26 - 22.883 ) = </v>
      </c>
      <c r="F25" s="428"/>
      <c r="G25" s="39">
        <f>'Pen Stock &amp; Bell Mouth'!C72-('Gravity Main'!F46-'Jack Well'!D22)</f>
        <v>3.1170000000000009</v>
      </c>
      <c r="H25" s="98"/>
      <c r="I25" s="6"/>
      <c r="J25" s="81"/>
    </row>
    <row r="26" spans="1:12" x14ac:dyDescent="0.25">
      <c r="B26" s="430" t="s">
        <v>204</v>
      </c>
      <c r="C26" s="430"/>
      <c r="D26" s="430"/>
      <c r="E26" s="92">
        <f>'Intake Design'!E23</f>
        <v>0.15429999999999999</v>
      </c>
      <c r="F26" s="8">
        <f>'Intake Design'!F18:G18</f>
        <v>10</v>
      </c>
      <c r="G26" s="95">
        <v>60</v>
      </c>
      <c r="H26" s="509">
        <f>'Intake Design'!E23*'Intake Design'!F18*'Intake Design'!G24</f>
        <v>92.58</v>
      </c>
      <c r="I26" s="509"/>
      <c r="J26" s="94" t="s">
        <v>97</v>
      </c>
    </row>
    <row r="27" spans="1:12" x14ac:dyDescent="0.25">
      <c r="B27" s="430" t="s">
        <v>205</v>
      </c>
      <c r="C27" s="430"/>
      <c r="D27" s="430"/>
      <c r="E27" s="41">
        <f>H26</f>
        <v>92.58</v>
      </c>
      <c r="F27" s="96">
        <f>G25</f>
        <v>3.1170000000000009</v>
      </c>
      <c r="G27" s="97">
        <f>ROUND(H26/G25,2)</f>
        <v>29.7</v>
      </c>
      <c r="H27" s="54" t="s">
        <v>99</v>
      </c>
    </row>
    <row r="28" spans="1:12" ht="18" x14ac:dyDescent="0.25">
      <c r="B28" s="430" t="s">
        <v>206</v>
      </c>
      <c r="C28" s="430"/>
      <c r="D28" s="430"/>
      <c r="E28" s="100" t="s">
        <v>101</v>
      </c>
      <c r="F28" s="62" t="s">
        <v>143</v>
      </c>
      <c r="G28" s="518">
        <f>G27</f>
        <v>29.7</v>
      </c>
      <c r="H28" s="480" t="s">
        <v>99</v>
      </c>
    </row>
    <row r="29" spans="1:12" x14ac:dyDescent="0.25">
      <c r="B29" s="48"/>
      <c r="C29" s="48"/>
      <c r="D29" s="48"/>
      <c r="E29" s="48"/>
      <c r="F29" s="70">
        <f>4</f>
        <v>4</v>
      </c>
      <c r="G29" s="518"/>
      <c r="H29" s="480"/>
    </row>
    <row r="30" spans="1:12" x14ac:dyDescent="0.25">
      <c r="B30" s="37"/>
      <c r="C30" s="428" t="s">
        <v>144</v>
      </c>
      <c r="D30" s="428"/>
      <c r="E30" s="56" t="str">
        <f>""&amp;G28&amp;" x "&amp;F29</f>
        <v>29.7 x 4</v>
      </c>
      <c r="F30" s="509">
        <f>ROUND((G28*F29/3.14)^0.5,2)</f>
        <v>6.15</v>
      </c>
      <c r="H30" s="56"/>
      <c r="I30" s="6"/>
      <c r="J30" s="6"/>
    </row>
    <row r="31" spans="1:12" x14ac:dyDescent="0.25">
      <c r="C31" s="428"/>
      <c r="D31" s="428"/>
      <c r="E31" s="48" t="s">
        <v>101</v>
      </c>
      <c r="F31" s="509"/>
      <c r="I31" s="6"/>
      <c r="J31" s="6"/>
    </row>
    <row r="32" spans="1:12" x14ac:dyDescent="0.25">
      <c r="B32" s="430" t="s">
        <v>207</v>
      </c>
      <c r="C32" s="430"/>
      <c r="D32" s="430"/>
      <c r="E32" s="517" t="str">
        <f>" ( "&amp;'Gravity Main'!I40&amp;" - "&amp;'Jack Well'!D22&amp;" ) = "</f>
        <v xml:space="preserve"> ( 23.883 - 1 ) = </v>
      </c>
      <c r="F32" s="517"/>
      <c r="G32" s="99">
        <f>'Gravity Main'!I40-'Jack Well'!D22</f>
        <v>22.882999999999999</v>
      </c>
      <c r="J32" s="73"/>
      <c r="L32" s="9"/>
    </row>
    <row r="33" spans="1:17" ht="15" customHeight="1" x14ac:dyDescent="0.25">
      <c r="B33" s="430" t="s">
        <v>208</v>
      </c>
      <c r="C33" s="430"/>
      <c r="D33" s="430"/>
      <c r="E33" s="430"/>
      <c r="F33" s="428" t="str">
        <f>" ( "&amp;G32&amp;" + "&amp;F30+0.85&amp;" ) = "</f>
        <v xml:space="preserve"> ( 22.883 + 7 ) = </v>
      </c>
      <c r="G33" s="428"/>
      <c r="H33" s="516">
        <f>G32+F30+0.85</f>
        <v>29.883000000000003</v>
      </c>
      <c r="I33" s="516"/>
      <c r="J33" s="37"/>
    </row>
    <row r="34" spans="1:17" x14ac:dyDescent="0.25">
      <c r="A34" s="48"/>
      <c r="B34" s="6"/>
      <c r="C34" s="21"/>
      <c r="D34" s="56"/>
      <c r="E34" s="56"/>
      <c r="F34" s="21"/>
      <c r="G34" s="6"/>
      <c r="H34" s="21"/>
      <c r="I34" s="6"/>
      <c r="J34" s="71"/>
    </row>
    <row r="35" spans="1:17" x14ac:dyDescent="0.25">
      <c r="A35" s="48" t="s">
        <v>128</v>
      </c>
      <c r="B35" s="438" t="s">
        <v>129</v>
      </c>
      <c r="C35" s="438"/>
    </row>
    <row r="36" spans="1:17" x14ac:dyDescent="0.25">
      <c r="B36" s="50" t="s">
        <v>21</v>
      </c>
      <c r="C36" s="461" t="s">
        <v>58</v>
      </c>
      <c r="D36" s="461"/>
      <c r="E36" s="461"/>
      <c r="F36" s="461" t="s">
        <v>79</v>
      </c>
      <c r="G36" s="461"/>
    </row>
    <row r="37" spans="1:17" x14ac:dyDescent="0.25">
      <c r="B37" s="12">
        <v>1</v>
      </c>
      <c r="C37" s="440" t="s">
        <v>209</v>
      </c>
      <c r="D37" s="440"/>
      <c r="E37" s="440"/>
      <c r="F37" s="515">
        <f>F30</f>
        <v>6.15</v>
      </c>
      <c r="G37" s="515"/>
    </row>
    <row r="38" spans="1:17" x14ac:dyDescent="0.25">
      <c r="B38" s="12">
        <v>2</v>
      </c>
      <c r="C38" s="441" t="s">
        <v>210</v>
      </c>
      <c r="D38" s="514"/>
      <c r="E38" s="444"/>
      <c r="F38" s="496">
        <f>G32</f>
        <v>22.882999999999999</v>
      </c>
      <c r="G38" s="440"/>
    </row>
    <row r="39" spans="1:17" x14ac:dyDescent="0.25">
      <c r="B39" s="12">
        <v>3</v>
      </c>
      <c r="C39" s="441" t="s">
        <v>211</v>
      </c>
      <c r="D39" s="514"/>
      <c r="E39" s="444"/>
      <c r="F39" s="496">
        <f>H33</f>
        <v>29.883000000000003</v>
      </c>
      <c r="G39" s="496"/>
    </row>
    <row r="40" spans="1:17" x14ac:dyDescent="0.25">
      <c r="B40" s="49">
        <v>4</v>
      </c>
      <c r="C40" s="440" t="s">
        <v>212</v>
      </c>
      <c r="D40" s="440"/>
      <c r="E40" s="440"/>
      <c r="F40" s="496">
        <f>ROUND(G25-F42,2)</f>
        <v>2.12</v>
      </c>
      <c r="G40" s="496"/>
    </row>
    <row r="41" spans="1:17" x14ac:dyDescent="0.25">
      <c r="B41" s="49">
        <v>5</v>
      </c>
      <c r="C41" s="440" t="s">
        <v>213</v>
      </c>
      <c r="D41" s="440"/>
      <c r="E41" s="440"/>
      <c r="F41" s="496">
        <f>D23</f>
        <v>0.5</v>
      </c>
      <c r="G41" s="496"/>
    </row>
    <row r="42" spans="1:17" x14ac:dyDescent="0.25">
      <c r="B42" s="49">
        <v>6</v>
      </c>
      <c r="C42" s="441" t="s">
        <v>214</v>
      </c>
      <c r="D42" s="514"/>
      <c r="E42" s="444"/>
      <c r="F42" s="496">
        <f>D22</f>
        <v>1</v>
      </c>
      <c r="G42" s="496"/>
      <c r="Q42" s="2">
        <f>8-3.12</f>
        <v>4.88</v>
      </c>
    </row>
    <row r="43" spans="1:17" x14ac:dyDescent="0.25">
      <c r="B43" s="87">
        <v>7</v>
      </c>
      <c r="C43" s="440" t="s">
        <v>256</v>
      </c>
      <c r="D43" s="440"/>
      <c r="E43" s="440"/>
      <c r="F43" s="496">
        <f>E21-F40-F42</f>
        <v>4.88</v>
      </c>
      <c r="G43" s="496"/>
      <c r="H43" s="513" t="str">
        <f>" = ( "&amp;E21&amp;" - "&amp;F40&amp;" - "&amp;F42&amp;" )"</f>
        <v xml:space="preserve"> = ( 8 - 2.12 - 1 )</v>
      </c>
      <c r="I43" s="431"/>
      <c r="J43" s="431"/>
    </row>
  </sheetData>
  <mergeCells count="57">
    <mergeCell ref="G19:H19"/>
    <mergeCell ref="H20:I20"/>
    <mergeCell ref="B21:D21"/>
    <mergeCell ref="I21:J21"/>
    <mergeCell ref="I15:J15"/>
    <mergeCell ref="H17:I17"/>
    <mergeCell ref="F15:G15"/>
    <mergeCell ref="B16:C16"/>
    <mergeCell ref="B3:C3"/>
    <mergeCell ref="B26:D26"/>
    <mergeCell ref="H26:I26"/>
    <mergeCell ref="B27:D27"/>
    <mergeCell ref="B28:D28"/>
    <mergeCell ref="B25:D25"/>
    <mergeCell ref="E25:F25"/>
    <mergeCell ref="B4:J5"/>
    <mergeCell ref="B7:J8"/>
    <mergeCell ref="B10:J11"/>
    <mergeCell ref="G28:G29"/>
    <mergeCell ref="H28:H29"/>
    <mergeCell ref="B24:L24"/>
    <mergeCell ref="D16:F16"/>
    <mergeCell ref="B17:C17"/>
    <mergeCell ref="D17:F17"/>
    <mergeCell ref="B19:E19"/>
    <mergeCell ref="B20:C20"/>
    <mergeCell ref="B13:C13"/>
    <mergeCell ref="B14:C14"/>
    <mergeCell ref="E14:H14"/>
    <mergeCell ref="B22:C22"/>
    <mergeCell ref="B23:C23"/>
    <mergeCell ref="H33:I33"/>
    <mergeCell ref="B32:D32"/>
    <mergeCell ref="E32:F32"/>
    <mergeCell ref="B33:E33"/>
    <mergeCell ref="F33:G33"/>
    <mergeCell ref="C38:E38"/>
    <mergeCell ref="F38:G38"/>
    <mergeCell ref="C30:D31"/>
    <mergeCell ref="F30:F31"/>
    <mergeCell ref="B35:C35"/>
    <mergeCell ref="B2:J2"/>
    <mergeCell ref="C43:E43"/>
    <mergeCell ref="F43:G43"/>
    <mergeCell ref="H43:J43"/>
    <mergeCell ref="C39:E39"/>
    <mergeCell ref="F39:G39"/>
    <mergeCell ref="C40:E40"/>
    <mergeCell ref="F40:G40"/>
    <mergeCell ref="C41:E41"/>
    <mergeCell ref="F41:G41"/>
    <mergeCell ref="C42:E42"/>
    <mergeCell ref="F42:G42"/>
    <mergeCell ref="C36:E36"/>
    <mergeCell ref="F36:G36"/>
    <mergeCell ref="C37:E37"/>
    <mergeCell ref="F37:G37"/>
  </mergeCells>
  <pageMargins left="0.7" right="0.7" top="0.75" bottom="0.75" header="0.3" footer="0.3"/>
  <pageSetup paperSize="9" orientation="portrait" r:id="rId1"/>
  <rowBreaks count="1" manualBreakCount="1">
    <brk id="44" max="9"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O69"/>
  <sheetViews>
    <sheetView view="pageBreakPreview" zoomScaleNormal="100" zoomScaleSheetLayoutView="100" workbookViewId="0">
      <selection activeCell="B2" sqref="B2:J2"/>
    </sheetView>
  </sheetViews>
  <sheetFormatPr defaultRowHeight="15" x14ac:dyDescent="0.25"/>
  <cols>
    <col min="1" max="1" width="4.42578125" style="83" customWidth="1"/>
    <col min="2" max="2" width="10.140625" style="83" bestFit="1" customWidth="1"/>
    <col min="3" max="3" width="8.42578125" style="83" customWidth="1"/>
    <col min="4" max="4" width="7.7109375" style="83" bestFit="1" customWidth="1"/>
    <col min="5" max="5" width="7.140625" style="83" bestFit="1" customWidth="1"/>
    <col min="6" max="6" width="2.140625" style="83" bestFit="1" customWidth="1"/>
    <col min="7" max="7" width="9.5703125" style="83" bestFit="1" customWidth="1"/>
    <col min="8" max="8" width="9.140625" style="83" bestFit="1" customWidth="1"/>
    <col min="9" max="9" width="10.140625" style="83" customWidth="1"/>
    <col min="10" max="10" width="6.42578125" style="83" customWidth="1"/>
    <col min="11" max="11" width="3.5703125" style="83" customWidth="1"/>
    <col min="12" max="13" width="9.140625" style="83"/>
    <col min="14" max="14" width="11.5703125" style="83" bestFit="1" customWidth="1"/>
    <col min="15" max="16384" width="9.140625" style="83"/>
  </cols>
  <sheetData>
    <row r="2" spans="1:11" ht="15" customHeight="1" x14ac:dyDescent="0.25">
      <c r="B2" s="447" t="s">
        <v>215</v>
      </c>
      <c r="C2" s="448"/>
      <c r="D2" s="448"/>
      <c r="E2" s="448"/>
      <c r="F2" s="448"/>
      <c r="G2" s="448"/>
      <c r="H2" s="448"/>
      <c r="I2" s="448"/>
      <c r="J2" s="449"/>
    </row>
    <row r="3" spans="1:11" x14ac:dyDescent="0.25">
      <c r="A3" s="83" t="s">
        <v>113</v>
      </c>
      <c r="B3" s="82" t="s">
        <v>216</v>
      </c>
    </row>
    <row r="4" spans="1:11" ht="15" customHeight="1" x14ac:dyDescent="0.25">
      <c r="A4" s="85" t="s">
        <v>217</v>
      </c>
      <c r="B4" s="431" t="s">
        <v>218</v>
      </c>
      <c r="C4" s="431"/>
      <c r="D4" s="431"/>
      <c r="E4" s="431"/>
      <c r="F4" s="431"/>
      <c r="G4" s="431"/>
      <c r="H4" s="431"/>
      <c r="I4" s="431"/>
      <c r="J4" s="431"/>
      <c r="K4" s="431"/>
    </row>
    <row r="5" spans="1:11" x14ac:dyDescent="0.25">
      <c r="B5" s="431"/>
      <c r="C5" s="431"/>
      <c r="D5" s="431"/>
      <c r="E5" s="431"/>
      <c r="F5" s="431"/>
      <c r="G5" s="431"/>
      <c r="H5" s="431"/>
      <c r="I5" s="431"/>
      <c r="J5" s="431"/>
      <c r="K5" s="431"/>
    </row>
    <row r="6" spans="1:11" x14ac:dyDescent="0.25">
      <c r="A6" s="85" t="s">
        <v>217</v>
      </c>
      <c r="B6" s="431" t="s">
        <v>219</v>
      </c>
      <c r="C6" s="431"/>
      <c r="D6" s="431"/>
      <c r="E6" s="431"/>
      <c r="F6" s="431"/>
      <c r="G6" s="431"/>
      <c r="H6" s="431"/>
    </row>
    <row r="7" spans="1:11" ht="15" customHeight="1" x14ac:dyDescent="0.25">
      <c r="A7" s="85" t="s">
        <v>220</v>
      </c>
      <c r="B7" s="428" t="s">
        <v>221</v>
      </c>
      <c r="C7" s="428"/>
      <c r="D7" s="428"/>
      <c r="E7" s="428"/>
      <c r="F7" s="428"/>
      <c r="G7" s="428"/>
      <c r="H7" s="428"/>
      <c r="I7" s="428"/>
    </row>
    <row r="8" spans="1:11" ht="15" customHeight="1" x14ac:dyDescent="0.25">
      <c r="B8" s="428" t="s">
        <v>222</v>
      </c>
      <c r="C8" s="428"/>
      <c r="D8" s="112">
        <f>10</f>
        <v>10</v>
      </c>
      <c r="E8" s="428" t="s">
        <v>223</v>
      </c>
      <c r="F8" s="428"/>
      <c r="G8" s="428"/>
      <c r="H8" s="431" t="str">
        <f>" If head is more than "&amp;D8&amp;" m , "</f>
        <v xml:space="preserve"> If head is more than 10 m , </v>
      </c>
      <c r="I8" s="431"/>
      <c r="J8" s="431"/>
      <c r="K8" s="431"/>
    </row>
    <row r="9" spans="1:11" x14ac:dyDescent="0.25">
      <c r="B9" s="431" t="s">
        <v>224</v>
      </c>
      <c r="C9" s="431"/>
      <c r="D9" s="431"/>
      <c r="E9" s="431"/>
      <c r="F9" s="431"/>
      <c r="G9" s="431"/>
      <c r="H9" s="431"/>
    </row>
    <row r="10" spans="1:11" x14ac:dyDescent="0.25">
      <c r="B10" s="431" t="s">
        <v>225</v>
      </c>
      <c r="C10" s="431"/>
      <c r="D10" s="431"/>
      <c r="E10" s="431"/>
      <c r="F10" s="431"/>
    </row>
    <row r="11" spans="1:11" x14ac:dyDescent="0.25">
      <c r="A11" s="85" t="s">
        <v>220</v>
      </c>
      <c r="B11" s="508">
        <f>2</f>
        <v>2</v>
      </c>
      <c r="C11" s="508"/>
      <c r="D11" s="508"/>
      <c r="E11" s="508"/>
      <c r="F11" s="508"/>
      <c r="G11" s="508"/>
      <c r="H11" s="508"/>
      <c r="I11" s="508"/>
      <c r="J11" s="508"/>
      <c r="K11" s="508"/>
    </row>
    <row r="12" spans="1:11" x14ac:dyDescent="0.25">
      <c r="A12" s="85" t="s">
        <v>220</v>
      </c>
      <c r="B12" s="508">
        <f>2.5</f>
        <v>2.5</v>
      </c>
      <c r="C12" s="508"/>
      <c r="D12" s="508"/>
      <c r="E12" s="508"/>
      <c r="F12" s="508"/>
      <c r="G12" s="508"/>
      <c r="H12" s="508"/>
      <c r="I12" s="508"/>
      <c r="J12" s="508"/>
      <c r="K12" s="508"/>
    </row>
    <row r="13" spans="1:11" x14ac:dyDescent="0.25">
      <c r="B13" s="113"/>
      <c r="C13" s="113"/>
      <c r="D13" s="113"/>
      <c r="E13" s="113"/>
      <c r="F13" s="113"/>
      <c r="G13" s="113"/>
      <c r="H13" s="113"/>
    </row>
    <row r="14" spans="1:11" ht="15" customHeight="1" x14ac:dyDescent="0.25">
      <c r="B14" s="489" t="s">
        <v>239</v>
      </c>
      <c r="C14" s="489"/>
      <c r="D14" s="489"/>
      <c r="E14" s="489"/>
      <c r="F14" s="489"/>
      <c r="G14" s="489"/>
      <c r="H14" s="489"/>
    </row>
    <row r="15" spans="1:11" ht="15" customHeight="1" x14ac:dyDescent="0.25">
      <c r="A15" s="85" t="s">
        <v>226</v>
      </c>
      <c r="B15" s="431" t="s">
        <v>230</v>
      </c>
      <c r="C15" s="431"/>
      <c r="D15" s="431"/>
      <c r="E15" s="431"/>
    </row>
    <row r="16" spans="1:11" x14ac:dyDescent="0.25">
      <c r="A16" s="85" t="s">
        <v>227</v>
      </c>
      <c r="B16" s="431" t="s">
        <v>231</v>
      </c>
      <c r="C16" s="431"/>
      <c r="D16" s="431"/>
    </row>
    <row r="17" spans="1:12" ht="15" customHeight="1" x14ac:dyDescent="0.25">
      <c r="A17" s="85" t="s">
        <v>228</v>
      </c>
      <c r="B17" s="431" t="s">
        <v>244</v>
      </c>
      <c r="C17" s="431"/>
      <c r="D17" s="431"/>
      <c r="E17" s="431"/>
    </row>
    <row r="18" spans="1:12" x14ac:dyDescent="0.25">
      <c r="A18" s="85" t="s">
        <v>229</v>
      </c>
      <c r="B18" s="431" t="s">
        <v>232</v>
      </c>
      <c r="C18" s="431"/>
      <c r="D18" s="431"/>
    </row>
    <row r="20" spans="1:12" ht="15" customHeight="1" x14ac:dyDescent="0.25">
      <c r="B20" s="489" t="s">
        <v>238</v>
      </c>
      <c r="C20" s="489"/>
      <c r="D20" s="489"/>
      <c r="E20" s="489"/>
      <c r="F20" s="489"/>
      <c r="G20" s="489"/>
    </row>
    <row r="21" spans="1:12" x14ac:dyDescent="0.25">
      <c r="A21" s="85" t="s">
        <v>237</v>
      </c>
      <c r="B21" s="431" t="s">
        <v>233</v>
      </c>
      <c r="C21" s="431"/>
      <c r="D21" s="431"/>
      <c r="E21" s="431"/>
    </row>
    <row r="22" spans="1:12" ht="15" customHeight="1" x14ac:dyDescent="0.25">
      <c r="A22" s="85" t="s">
        <v>237</v>
      </c>
      <c r="B22" s="431" t="s">
        <v>234</v>
      </c>
      <c r="C22" s="431"/>
      <c r="D22" s="431"/>
      <c r="E22" s="431"/>
      <c r="F22" s="431"/>
      <c r="G22" s="431"/>
      <c r="H22" s="431"/>
      <c r="I22" s="431"/>
    </row>
    <row r="23" spans="1:12" ht="15" customHeight="1" x14ac:dyDescent="0.25">
      <c r="A23" s="85" t="s">
        <v>237</v>
      </c>
      <c r="B23" s="431" t="s">
        <v>235</v>
      </c>
      <c r="C23" s="431"/>
      <c r="D23" s="431"/>
      <c r="E23" s="431"/>
      <c r="F23" s="431"/>
      <c r="G23" s="431"/>
    </row>
    <row r="24" spans="1:12" x14ac:dyDescent="0.25">
      <c r="A24" s="85" t="s">
        <v>237</v>
      </c>
      <c r="B24" s="431" t="s">
        <v>236</v>
      </c>
      <c r="C24" s="431"/>
      <c r="D24" s="431"/>
      <c r="E24" s="431"/>
      <c r="F24" s="431"/>
      <c r="G24" s="431"/>
      <c r="H24" s="431"/>
    </row>
    <row r="25" spans="1:12" ht="15" customHeight="1" x14ac:dyDescent="0.25">
      <c r="A25" s="85" t="s">
        <v>237</v>
      </c>
      <c r="B25" s="431" t="s">
        <v>264</v>
      </c>
      <c r="C25" s="431"/>
      <c r="D25" s="431"/>
      <c r="E25" s="431"/>
      <c r="F25" s="431"/>
      <c r="G25" s="431"/>
      <c r="H25" s="431"/>
      <c r="I25" s="431"/>
      <c r="J25" s="431"/>
      <c r="K25" s="431"/>
      <c r="L25" s="6"/>
    </row>
    <row r="26" spans="1:12" x14ac:dyDescent="0.25">
      <c r="B26" s="431" t="s">
        <v>265</v>
      </c>
      <c r="C26" s="431"/>
    </row>
    <row r="27" spans="1:12" x14ac:dyDescent="0.25">
      <c r="B27" s="86"/>
      <c r="C27" s="86"/>
    </row>
    <row r="28" spans="1:12" x14ac:dyDescent="0.25">
      <c r="A28" s="83" t="s">
        <v>116</v>
      </c>
      <c r="B28" s="438" t="s">
        <v>240</v>
      </c>
      <c r="C28" s="438"/>
      <c r="D28" s="438"/>
      <c r="E28" s="438"/>
    </row>
    <row r="29" spans="1:12" x14ac:dyDescent="0.25">
      <c r="B29" s="431" t="s">
        <v>241</v>
      </c>
      <c r="C29" s="431"/>
      <c r="F29" s="83" t="s">
        <v>2</v>
      </c>
      <c r="G29" s="34">
        <f>'Intake Design'!E23</f>
        <v>0.15429999999999999</v>
      </c>
      <c r="H29" s="477" t="s">
        <v>95</v>
      </c>
      <c r="I29" s="477"/>
    </row>
    <row r="30" spans="1:12" x14ac:dyDescent="0.25">
      <c r="B30" s="431" t="s">
        <v>242</v>
      </c>
      <c r="C30" s="431"/>
      <c r="D30" s="431"/>
      <c r="E30" s="431"/>
      <c r="F30" s="428" t="s">
        <v>2</v>
      </c>
      <c r="G30" s="534">
        <f>0.97</f>
        <v>0.97</v>
      </c>
      <c r="H30" s="535">
        <f>1.22</f>
        <v>1.22</v>
      </c>
    </row>
    <row r="31" spans="1:12" x14ac:dyDescent="0.25">
      <c r="B31" s="431"/>
      <c r="C31" s="431"/>
      <c r="D31" s="431"/>
      <c r="E31" s="431"/>
      <c r="F31" s="428"/>
      <c r="G31" s="534"/>
      <c r="H31" s="535"/>
    </row>
    <row r="32" spans="1:12" x14ac:dyDescent="0.25">
      <c r="F32" s="83" t="s">
        <v>2</v>
      </c>
      <c r="G32" s="121">
        <f>G30</f>
        <v>0.97</v>
      </c>
      <c r="H32" s="114">
        <f>H30</f>
        <v>1.22</v>
      </c>
      <c r="I32" s="530">
        <f>G29</f>
        <v>0.15429999999999999</v>
      </c>
      <c r="J32" s="530"/>
    </row>
    <row r="33" spans="1:11" x14ac:dyDescent="0.25">
      <c r="F33" s="83" t="s">
        <v>2</v>
      </c>
      <c r="G33" s="121">
        <f>G32</f>
        <v>0.97</v>
      </c>
      <c r="H33" s="114">
        <f>H32</f>
        <v>1.22</v>
      </c>
      <c r="I33" s="536">
        <f>ROUND((I32)^(0.5),3)</f>
        <v>0.39300000000000002</v>
      </c>
      <c r="J33" s="536"/>
    </row>
    <row r="34" spans="1:11" x14ac:dyDescent="0.25">
      <c r="F34" s="83" t="s">
        <v>2</v>
      </c>
      <c r="G34" s="122">
        <f>ROUND(G33*I33,3)</f>
        <v>0.38100000000000001</v>
      </c>
      <c r="H34" s="283">
        <f>H33*I33</f>
        <v>0.47946</v>
      </c>
    </row>
    <row r="35" spans="1:11" x14ac:dyDescent="0.25">
      <c r="B35" s="431" t="s">
        <v>253</v>
      </c>
      <c r="C35" s="431"/>
      <c r="D35" s="431"/>
      <c r="F35" s="83" t="s">
        <v>2</v>
      </c>
      <c r="G35" s="36">
        <f>(G34+H34)/2</f>
        <v>0.43023</v>
      </c>
      <c r="H35" s="83" t="s">
        <v>243</v>
      </c>
      <c r="I35" s="123">
        <f>0.45</f>
        <v>0.45</v>
      </c>
    </row>
    <row r="37" spans="1:11" x14ac:dyDescent="0.25">
      <c r="A37" s="83" t="s">
        <v>120</v>
      </c>
      <c r="B37" s="438" t="s">
        <v>117</v>
      </c>
      <c r="C37" s="438"/>
    </row>
    <row r="38" spans="1:11" ht="15" customHeight="1" x14ac:dyDescent="0.25">
      <c r="B38" s="428" t="s">
        <v>245</v>
      </c>
      <c r="C38" s="428"/>
      <c r="D38" s="428"/>
      <c r="E38" s="428"/>
      <c r="F38" s="428"/>
      <c r="G38" s="531">
        <f>D8</f>
        <v>10</v>
      </c>
      <c r="H38" s="531"/>
    </row>
    <row r="39" spans="1:11" x14ac:dyDescent="0.25">
      <c r="B39" s="431" t="s">
        <v>246</v>
      </c>
      <c r="C39" s="431"/>
      <c r="D39" s="431"/>
      <c r="E39" s="431"/>
      <c r="F39" s="83" t="s">
        <v>2</v>
      </c>
      <c r="G39" s="51">
        <v>0.7</v>
      </c>
      <c r="H39" s="492">
        <v>1.1000000000000001</v>
      </c>
      <c r="I39" s="492"/>
    </row>
    <row r="40" spans="1:11" x14ac:dyDescent="0.25">
      <c r="B40" s="431" t="s">
        <v>213</v>
      </c>
      <c r="C40" s="431"/>
      <c r="D40" s="431"/>
      <c r="F40" s="83" t="s">
        <v>2</v>
      </c>
      <c r="G40" s="39">
        <f>'Jack Well'!F41</f>
        <v>0.5</v>
      </c>
    </row>
    <row r="41" spans="1:11" x14ac:dyDescent="0.25">
      <c r="B41" s="431" t="s">
        <v>214</v>
      </c>
      <c r="C41" s="431"/>
      <c r="D41" s="431"/>
      <c r="F41" s="83" t="s">
        <v>2</v>
      </c>
      <c r="G41" s="39">
        <f>'Jack Well'!F42</f>
        <v>1</v>
      </c>
    </row>
    <row r="43" spans="1:11" x14ac:dyDescent="0.25">
      <c r="A43" s="83" t="s">
        <v>128</v>
      </c>
      <c r="B43" s="438" t="s">
        <v>121</v>
      </c>
      <c r="C43" s="438"/>
      <c r="D43" s="438"/>
      <c r="E43" s="438"/>
    </row>
    <row r="44" spans="1:11" x14ac:dyDescent="0.25">
      <c r="B44" s="431" t="s">
        <v>247</v>
      </c>
      <c r="C44" s="431"/>
      <c r="D44" s="431"/>
      <c r="E44" s="431"/>
    </row>
    <row r="45" spans="1:11" x14ac:dyDescent="0.25">
      <c r="B45" s="431" t="s">
        <v>248</v>
      </c>
      <c r="C45" s="431"/>
      <c r="D45" s="431"/>
      <c r="F45" s="83" t="s">
        <v>2</v>
      </c>
      <c r="G45" s="533">
        <f>(G39+H39)/2</f>
        <v>0.9</v>
      </c>
      <c r="H45" s="533"/>
    </row>
    <row r="46" spans="1:11" s="86" customFormat="1" ht="15" customHeight="1" x14ac:dyDescent="0.25">
      <c r="A46" s="430" t="s">
        <v>249</v>
      </c>
      <c r="B46" s="430"/>
      <c r="C46" s="428"/>
      <c r="D46" s="428"/>
      <c r="G46" s="116">
        <f>G49</f>
        <v>0.02</v>
      </c>
      <c r="H46" s="117">
        <f>G50</f>
        <v>190</v>
      </c>
      <c r="I46" s="89" t="str">
        <f>""&amp;G45&amp;" x "&amp;G45&amp;" ) "</f>
        <v xml:space="preserve">0.9 x 0.9 ) </v>
      </c>
      <c r="J46" s="532">
        <f>ROUND(G46*H46*G45*G45/(G47*H47*I47),3)</f>
        <v>0.34899999999999998</v>
      </c>
      <c r="K46" s="532"/>
    </row>
    <row r="47" spans="1:11" x14ac:dyDescent="0.25">
      <c r="A47" s="430"/>
      <c r="B47" s="430"/>
      <c r="G47" s="118">
        <f>2</f>
        <v>2</v>
      </c>
      <c r="H47" s="119">
        <f>G51</f>
        <v>9.81</v>
      </c>
      <c r="I47" s="86">
        <f>I35</f>
        <v>0.45</v>
      </c>
      <c r="J47" s="532"/>
      <c r="K47" s="532"/>
    </row>
    <row r="48" spans="1:11" x14ac:dyDescent="0.25">
      <c r="C48" s="428" t="s">
        <v>250</v>
      </c>
      <c r="D48" s="428"/>
    </row>
    <row r="49" spans="2:15" x14ac:dyDescent="0.25">
      <c r="C49" s="428"/>
      <c r="D49" s="428"/>
      <c r="E49" s="83" t="s">
        <v>251</v>
      </c>
      <c r="F49" s="83" t="s">
        <v>2</v>
      </c>
      <c r="G49" s="84">
        <f>0.02</f>
        <v>0.02</v>
      </c>
    </row>
    <row r="50" spans="2:15" x14ac:dyDescent="0.25">
      <c r="E50" s="83" t="s">
        <v>252</v>
      </c>
      <c r="F50" s="83" t="s">
        <v>2</v>
      </c>
      <c r="G50" s="115">
        <v>190</v>
      </c>
    </row>
    <row r="51" spans="2:15" x14ac:dyDescent="0.25">
      <c r="E51" s="83" t="s">
        <v>255</v>
      </c>
      <c r="F51" s="83" t="s">
        <v>2</v>
      </c>
      <c r="G51" s="529">
        <f>9.81</f>
        <v>9.81</v>
      </c>
      <c r="H51" s="529"/>
    </row>
    <row r="52" spans="2:15" x14ac:dyDescent="0.25">
      <c r="G52" s="127"/>
      <c r="H52" s="127"/>
    </row>
    <row r="53" spans="2:15" x14ac:dyDescent="0.25">
      <c r="G53" s="127"/>
      <c r="H53" s="127"/>
    </row>
    <row r="54" spans="2:15" ht="17.25" x14ac:dyDescent="0.25">
      <c r="B54" s="83" t="s">
        <v>249</v>
      </c>
      <c r="C54" s="85" t="s">
        <v>254</v>
      </c>
      <c r="D54" s="120">
        <f>J46</f>
        <v>0.34899999999999998</v>
      </c>
      <c r="E54" s="83" t="s">
        <v>243</v>
      </c>
      <c r="F54" s="528">
        <f>0.35</f>
        <v>0.35</v>
      </c>
      <c r="G54" s="528"/>
    </row>
    <row r="55" spans="2:15" x14ac:dyDescent="0.25">
      <c r="B55" s="430" t="s">
        <v>257</v>
      </c>
      <c r="C55" s="430"/>
      <c r="D55" s="430"/>
      <c r="E55" s="430"/>
      <c r="F55" s="83" t="s">
        <v>2</v>
      </c>
      <c r="G55" s="115">
        <f>1</f>
        <v>1</v>
      </c>
    </row>
    <row r="56" spans="2:15" ht="18" customHeight="1" x14ac:dyDescent="0.25">
      <c r="B56" s="428" t="s">
        <v>594</v>
      </c>
      <c r="C56" s="428"/>
      <c r="D56" s="428"/>
      <c r="E56" s="428"/>
      <c r="F56" s="428"/>
      <c r="G56" s="428"/>
      <c r="H56" s="428"/>
      <c r="I56" s="428"/>
      <c r="J56" s="6"/>
      <c r="K56" s="6"/>
    </row>
    <row r="57" spans="2:15" x14ac:dyDescent="0.25">
      <c r="F57" s="83" t="s">
        <v>2</v>
      </c>
      <c r="G57" s="431" t="str">
        <f>" ( "&amp;'Jack Well'!F40&amp;" + "&amp;'Jack Well'!F43&amp;" + "&amp;'Pumping Sys.'!F54&amp;" + "&amp;G55&amp;" ) "</f>
        <v xml:space="preserve"> ( 2.12 + 4.88 + 0.35 + 1 ) </v>
      </c>
      <c r="H57" s="431"/>
      <c r="I57" s="431"/>
    </row>
    <row r="58" spans="2:15" x14ac:dyDescent="0.25">
      <c r="F58" s="83" t="s">
        <v>2</v>
      </c>
      <c r="G58" s="39">
        <f>'Jack Well'!F40+'Jack Well'!F43+'Pumping Sys.'!F54+'Pumping Sys.'!G55</f>
        <v>8.35</v>
      </c>
    </row>
    <row r="59" spans="2:15" x14ac:dyDescent="0.25">
      <c r="B59" s="83" t="s">
        <v>258</v>
      </c>
      <c r="C59" s="429">
        <f>2</f>
        <v>2</v>
      </c>
      <c r="D59" s="429"/>
      <c r="E59" s="431" t="s">
        <v>259</v>
      </c>
      <c r="F59" s="431"/>
      <c r="G59" s="431"/>
      <c r="H59" s="431"/>
    </row>
    <row r="61" spans="2:15" x14ac:dyDescent="0.25">
      <c r="E61" s="124">
        <f>1000</f>
        <v>1000</v>
      </c>
      <c r="F61" s="527">
        <f>'Intake Design'!E23</f>
        <v>0.15429999999999999</v>
      </c>
      <c r="G61" s="527"/>
      <c r="H61" s="125">
        <f>G58</f>
        <v>8.35</v>
      </c>
      <c r="I61" s="525">
        <f>E61*F61*H61/F62</f>
        <v>17.17873333333333</v>
      </c>
      <c r="J61" s="525"/>
    </row>
    <row r="62" spans="2:15" x14ac:dyDescent="0.25">
      <c r="F62" s="428">
        <f>75</f>
        <v>75</v>
      </c>
      <c r="G62" s="428"/>
      <c r="I62" s="525"/>
      <c r="J62" s="525"/>
      <c r="N62" s="83">
        <v>1</v>
      </c>
      <c r="O62" s="83">
        <v>0.73499999999999999</v>
      </c>
    </row>
    <row r="63" spans="2:15" x14ac:dyDescent="0.25">
      <c r="B63" s="428"/>
      <c r="C63" s="428"/>
      <c r="E63" s="71">
        <f>I61</f>
        <v>17.17873333333333</v>
      </c>
      <c r="F63" s="523" t="s">
        <v>2</v>
      </c>
      <c r="G63" s="524">
        <f>E63/E64</f>
        <v>22.904977777777773</v>
      </c>
      <c r="H63" s="428" t="s">
        <v>243</v>
      </c>
      <c r="I63" s="526">
        <v>25</v>
      </c>
    </row>
    <row r="64" spans="2:15" x14ac:dyDescent="0.25">
      <c r="B64" s="428"/>
      <c r="C64" s="428"/>
      <c r="E64" s="83">
        <f>G65/100</f>
        <v>0.75</v>
      </c>
      <c r="F64" s="523"/>
      <c r="G64" s="524"/>
      <c r="H64" s="428"/>
      <c r="I64" s="526"/>
      <c r="N64" s="83">
        <f>I61*O62</f>
        <v>12.626368999999997</v>
      </c>
    </row>
    <row r="65" spans="1:7" x14ac:dyDescent="0.25">
      <c r="E65" s="85" t="s">
        <v>260</v>
      </c>
      <c r="F65" s="83" t="s">
        <v>2</v>
      </c>
      <c r="G65" s="126">
        <f>75</f>
        <v>75</v>
      </c>
    </row>
    <row r="66" spans="1:7" x14ac:dyDescent="0.25">
      <c r="A66" s="83" t="s">
        <v>261</v>
      </c>
      <c r="B66" s="438" t="s">
        <v>129</v>
      </c>
      <c r="C66" s="438"/>
    </row>
    <row r="67" spans="1:7" x14ac:dyDescent="0.25">
      <c r="B67" s="88" t="s">
        <v>21</v>
      </c>
      <c r="C67" s="461" t="s">
        <v>58</v>
      </c>
      <c r="D67" s="461"/>
      <c r="E67" s="461"/>
      <c r="F67" s="461" t="s">
        <v>79</v>
      </c>
      <c r="G67" s="461"/>
    </row>
    <row r="68" spans="1:7" x14ac:dyDescent="0.25">
      <c r="B68" s="87">
        <v>1</v>
      </c>
      <c r="C68" s="440" t="s">
        <v>262</v>
      </c>
      <c r="D68" s="440"/>
      <c r="E68" s="440"/>
      <c r="F68" s="522">
        <f>I63</f>
        <v>25</v>
      </c>
      <c r="G68" s="440"/>
    </row>
    <row r="69" spans="1:7" x14ac:dyDescent="0.25">
      <c r="B69" s="87">
        <v>2</v>
      </c>
      <c r="C69" s="440" t="s">
        <v>263</v>
      </c>
      <c r="D69" s="440"/>
      <c r="E69" s="440"/>
      <c r="F69" s="496">
        <f>I35</f>
        <v>0.45</v>
      </c>
      <c r="G69" s="440"/>
    </row>
  </sheetData>
  <mergeCells count="70">
    <mergeCell ref="B18:D18"/>
    <mergeCell ref="B17:E17"/>
    <mergeCell ref="B9:H9"/>
    <mergeCell ref="B10:F10"/>
    <mergeCell ref="B6:H6"/>
    <mergeCell ref="B8:C8"/>
    <mergeCell ref="E8:G8"/>
    <mergeCell ref="B7:I7"/>
    <mergeCell ref="B14:H14"/>
    <mergeCell ref="F30:F31"/>
    <mergeCell ref="G30:G31"/>
    <mergeCell ref="H30:H31"/>
    <mergeCell ref="I33:J33"/>
    <mergeCell ref="B2:J2"/>
    <mergeCell ref="H29:I29"/>
    <mergeCell ref="B4:K5"/>
    <mergeCell ref="B11:K11"/>
    <mergeCell ref="B12:K12"/>
    <mergeCell ref="H8:K8"/>
    <mergeCell ref="B20:G20"/>
    <mergeCell ref="B28:E28"/>
    <mergeCell ref="B29:C29"/>
    <mergeCell ref="B21:E21"/>
    <mergeCell ref="B24:H24"/>
    <mergeCell ref="B16:D16"/>
    <mergeCell ref="H39:I39"/>
    <mergeCell ref="B40:D40"/>
    <mergeCell ref="B41:D41"/>
    <mergeCell ref="J46:K47"/>
    <mergeCell ref="B44:E44"/>
    <mergeCell ref="B45:D45"/>
    <mergeCell ref="G45:H45"/>
    <mergeCell ref="C46:D46"/>
    <mergeCell ref="A46:B47"/>
    <mergeCell ref="B35:D35"/>
    <mergeCell ref="B37:C37"/>
    <mergeCell ref="B15:E15"/>
    <mergeCell ref="B66:C66"/>
    <mergeCell ref="B26:C26"/>
    <mergeCell ref="B25:K25"/>
    <mergeCell ref="F54:G54"/>
    <mergeCell ref="C48:D49"/>
    <mergeCell ref="G51:H51"/>
    <mergeCell ref="B22:I22"/>
    <mergeCell ref="B23:G23"/>
    <mergeCell ref="B38:F38"/>
    <mergeCell ref="I32:J32"/>
    <mergeCell ref="B30:E31"/>
    <mergeCell ref="G38:H38"/>
    <mergeCell ref="B39:E39"/>
    <mergeCell ref="B55:E55"/>
    <mergeCell ref="C59:D59"/>
    <mergeCell ref="E59:H59"/>
    <mergeCell ref="F61:G61"/>
    <mergeCell ref="B43:E43"/>
    <mergeCell ref="F62:G62"/>
    <mergeCell ref="I61:J62"/>
    <mergeCell ref="B56:I56"/>
    <mergeCell ref="C67:E67"/>
    <mergeCell ref="F67:G67"/>
    <mergeCell ref="I63:I64"/>
    <mergeCell ref="G57:I57"/>
    <mergeCell ref="C68:E68"/>
    <mergeCell ref="F68:G68"/>
    <mergeCell ref="C69:E69"/>
    <mergeCell ref="F69:G69"/>
    <mergeCell ref="H63:H64"/>
    <mergeCell ref="B63:C64"/>
    <mergeCell ref="F63:F64"/>
    <mergeCell ref="G63:G64"/>
  </mergeCells>
  <pageMargins left="0.7" right="0.7" top="0.75" bottom="0.25" header="0.3" footer="0.3"/>
  <pageSetup paperSize="9" orientation="portrait" r:id="rId1"/>
  <rowBreaks count="1" manualBreakCount="1">
    <brk id="52" max="10" man="1"/>
  </rowBreaks>
  <drawing r:id="rId2"/>
  <legacyDrawing r:id="rId3"/>
  <oleObjects>
    <mc:AlternateContent xmlns:mc="http://schemas.openxmlformats.org/markup-compatibility/2006">
      <mc:Choice Requires="x14">
        <oleObject progId="Equation.3" shapeId="8193" r:id="rId4">
          <objectPr defaultSize="0" autoPict="0" r:id="rId5">
            <anchor moveWithCells="1">
              <from>
                <xdr:col>8</xdr:col>
                <xdr:colOff>19050</xdr:colOff>
                <xdr:row>29</xdr:row>
                <xdr:rowOff>76200</xdr:rowOff>
              </from>
              <to>
                <xdr:col>8</xdr:col>
                <xdr:colOff>390525</xdr:colOff>
                <xdr:row>30</xdr:row>
                <xdr:rowOff>142875</xdr:rowOff>
              </to>
            </anchor>
          </objectPr>
        </oleObject>
      </mc:Choice>
      <mc:Fallback>
        <oleObject progId="Equation.3" shapeId="8193" r:id="rId4"/>
      </mc:Fallback>
    </mc:AlternateContent>
    <mc:AlternateContent xmlns:mc="http://schemas.openxmlformats.org/markup-compatibility/2006">
      <mc:Choice Requires="x14">
        <oleObject progId="Equation.3" shapeId="8194" r:id="rId6">
          <objectPr defaultSize="0" autoPict="0" r:id="rId7">
            <anchor moveWithCells="1">
              <from>
                <xdr:col>2</xdr:col>
                <xdr:colOff>352425</xdr:colOff>
                <xdr:row>45</xdr:row>
                <xdr:rowOff>0</xdr:rowOff>
              </from>
              <to>
                <xdr:col>6</xdr:col>
                <xdr:colOff>76200</xdr:colOff>
                <xdr:row>47</xdr:row>
                <xdr:rowOff>0</xdr:rowOff>
              </to>
            </anchor>
          </objectPr>
        </oleObject>
      </mc:Choice>
      <mc:Fallback>
        <oleObject progId="Equation.3" shapeId="8194" r:id="rId6"/>
      </mc:Fallback>
    </mc:AlternateContent>
    <mc:AlternateContent xmlns:mc="http://schemas.openxmlformats.org/markup-compatibility/2006">
      <mc:Choice Requires="x14">
        <oleObject progId="Equation.3" shapeId="8195" r:id="rId8">
          <objectPr defaultSize="0" autoPict="0" r:id="rId9">
            <anchor moveWithCells="1">
              <from>
                <xdr:col>1</xdr:col>
                <xdr:colOff>428625</xdr:colOff>
                <xdr:row>59</xdr:row>
                <xdr:rowOff>180975</xdr:rowOff>
              </from>
              <to>
                <xdr:col>3</xdr:col>
                <xdr:colOff>409575</xdr:colOff>
                <xdr:row>62</xdr:row>
                <xdr:rowOff>0</xdr:rowOff>
              </to>
            </anchor>
          </objectPr>
        </oleObject>
      </mc:Choice>
      <mc:Fallback>
        <oleObject progId="Equation.3" shapeId="8195" r:id="rId8"/>
      </mc:Fallback>
    </mc:AlternateContent>
    <mc:AlternateContent xmlns:mc="http://schemas.openxmlformats.org/markup-compatibility/2006">
      <mc:Choice Requires="x14">
        <oleObject progId="Equation.3" shapeId="8196" r:id="rId10">
          <objectPr defaultSize="0" autoPict="0" r:id="rId11">
            <anchor moveWithCells="1">
              <from>
                <xdr:col>1</xdr:col>
                <xdr:colOff>476250</xdr:colOff>
                <xdr:row>61</xdr:row>
                <xdr:rowOff>180975</xdr:rowOff>
              </from>
              <to>
                <xdr:col>3</xdr:col>
                <xdr:colOff>419100</xdr:colOff>
                <xdr:row>64</xdr:row>
                <xdr:rowOff>28575</xdr:rowOff>
              </to>
            </anchor>
          </objectPr>
        </oleObject>
      </mc:Choice>
      <mc:Fallback>
        <oleObject progId="Equation.3" shapeId="8196" r:id="rId10"/>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0"/>
  <sheetViews>
    <sheetView view="pageBreakPreview" zoomScaleNormal="100" zoomScaleSheetLayoutView="100" workbookViewId="0">
      <selection activeCell="B2" sqref="B2:J2"/>
    </sheetView>
  </sheetViews>
  <sheetFormatPr defaultRowHeight="15" x14ac:dyDescent="0.25"/>
  <cols>
    <col min="1" max="1" width="2.7109375" style="83" bestFit="1" customWidth="1"/>
    <col min="2" max="5" width="9.140625" style="83"/>
    <col min="6" max="6" width="2.140625" style="83" bestFit="1" customWidth="1"/>
    <col min="7" max="7" width="9.5703125" style="83" customWidth="1"/>
    <col min="8" max="8" width="10" style="83" customWidth="1"/>
    <col min="9" max="9" width="9.140625" style="83"/>
    <col min="10" max="10" width="10.5703125" style="83" customWidth="1"/>
    <col min="11" max="16384" width="9.140625" style="83"/>
  </cols>
  <sheetData>
    <row r="2" spans="1:10" ht="15" customHeight="1" x14ac:dyDescent="0.25">
      <c r="B2" s="447" t="s">
        <v>266</v>
      </c>
      <c r="C2" s="448"/>
      <c r="D2" s="448"/>
      <c r="E2" s="448"/>
      <c r="F2" s="448"/>
      <c r="G2" s="448"/>
      <c r="H2" s="448"/>
      <c r="I2" s="448"/>
      <c r="J2" s="449"/>
    </row>
    <row r="3" spans="1:10" x14ac:dyDescent="0.25">
      <c r="A3" s="83" t="s">
        <v>113</v>
      </c>
      <c r="B3" s="82" t="s">
        <v>267</v>
      </c>
    </row>
    <row r="4" spans="1:10" ht="15" customHeight="1" x14ac:dyDescent="0.25">
      <c r="B4" s="431" t="s">
        <v>268</v>
      </c>
      <c r="C4" s="431"/>
      <c r="D4" s="431"/>
      <c r="E4" s="431"/>
      <c r="F4" s="431"/>
      <c r="G4" s="431"/>
      <c r="H4" s="431"/>
      <c r="I4" s="431"/>
      <c r="J4" s="431"/>
    </row>
    <row r="5" spans="1:10" x14ac:dyDescent="0.25">
      <c r="B5" s="431"/>
      <c r="C5" s="431"/>
      <c r="D5" s="431"/>
      <c r="E5" s="431"/>
      <c r="F5" s="431"/>
      <c r="G5" s="431"/>
      <c r="H5" s="431"/>
      <c r="I5" s="431"/>
      <c r="J5" s="431"/>
    </row>
    <row r="6" spans="1:10" ht="15" customHeight="1" x14ac:dyDescent="0.25">
      <c r="B6" s="431" t="s">
        <v>269</v>
      </c>
      <c r="C6" s="431"/>
      <c r="D6" s="431"/>
      <c r="E6" s="431"/>
      <c r="F6" s="431"/>
      <c r="G6" s="431"/>
      <c r="H6" s="431"/>
      <c r="I6" s="431"/>
      <c r="J6" s="431"/>
    </row>
    <row r="7" spans="1:10" x14ac:dyDescent="0.25">
      <c r="B7" s="431"/>
      <c r="C7" s="431"/>
      <c r="D7" s="431"/>
      <c r="E7" s="431"/>
      <c r="F7" s="431"/>
      <c r="G7" s="431"/>
      <c r="H7" s="431"/>
      <c r="I7" s="431"/>
      <c r="J7" s="431"/>
    </row>
    <row r="9" spans="1:10" ht="15" customHeight="1" x14ac:dyDescent="0.25">
      <c r="B9" s="431" t="s">
        <v>270</v>
      </c>
      <c r="C9" s="431"/>
      <c r="D9" s="431"/>
      <c r="E9" s="431"/>
      <c r="F9" s="431"/>
      <c r="G9" s="431"/>
      <c r="H9" s="431"/>
      <c r="I9" s="431"/>
      <c r="J9" s="431"/>
    </row>
    <row r="10" spans="1:10" x14ac:dyDescent="0.25">
      <c r="B10" s="431"/>
      <c r="C10" s="431"/>
      <c r="D10" s="431"/>
      <c r="E10" s="431"/>
      <c r="F10" s="431"/>
      <c r="G10" s="431"/>
      <c r="H10" s="431"/>
      <c r="I10" s="431"/>
      <c r="J10" s="431"/>
    </row>
    <row r="12" spans="1:10" x14ac:dyDescent="0.25">
      <c r="B12" s="431" t="s">
        <v>271</v>
      </c>
      <c r="C12" s="431"/>
      <c r="D12" s="431"/>
      <c r="E12" s="431"/>
      <c r="F12" s="431"/>
      <c r="G12" s="431"/>
      <c r="H12" s="431"/>
      <c r="I12" s="431"/>
      <c r="J12" s="431"/>
    </row>
    <row r="13" spans="1:10" x14ac:dyDescent="0.25">
      <c r="B13" s="431"/>
      <c r="C13" s="431"/>
      <c r="D13" s="431"/>
      <c r="E13" s="431"/>
      <c r="F13" s="431"/>
      <c r="G13" s="431"/>
      <c r="H13" s="431"/>
      <c r="I13" s="431"/>
      <c r="J13" s="431"/>
    </row>
    <row r="15" spans="1:10" x14ac:dyDescent="0.25">
      <c r="A15" s="83" t="s">
        <v>116</v>
      </c>
      <c r="B15" s="434" t="s">
        <v>117</v>
      </c>
      <c r="C15" s="434"/>
    </row>
    <row r="16" spans="1:10" x14ac:dyDescent="0.25">
      <c r="B16" s="431" t="s">
        <v>272</v>
      </c>
      <c r="C16" s="431"/>
      <c r="D16" s="431"/>
      <c r="E16" s="431"/>
      <c r="F16" s="83" t="s">
        <v>2</v>
      </c>
      <c r="G16" s="51">
        <f>0.9</f>
        <v>0.9</v>
      </c>
      <c r="H16" s="492">
        <v>1.5</v>
      </c>
      <c r="I16" s="492"/>
    </row>
    <row r="17" spans="1:10" ht="15" customHeight="1" x14ac:dyDescent="0.25">
      <c r="B17" s="428" t="s">
        <v>273</v>
      </c>
      <c r="C17" s="428"/>
      <c r="D17" s="428"/>
      <c r="E17" s="428"/>
      <c r="F17" s="428"/>
      <c r="G17" s="90">
        <f>0.9</f>
        <v>0.9</v>
      </c>
    </row>
    <row r="18" spans="1:10" ht="15" customHeight="1" x14ac:dyDescent="0.25">
      <c r="B18" s="431" t="s">
        <v>274</v>
      </c>
      <c r="C18" s="431"/>
      <c r="D18" s="431"/>
      <c r="E18" s="431"/>
      <c r="F18" s="83" t="s">
        <v>2</v>
      </c>
      <c r="G18" s="34">
        <f>'Intake Design'!E23</f>
        <v>0.15429999999999999</v>
      </c>
      <c r="H18" s="128" t="s">
        <v>95</v>
      </c>
      <c r="I18" s="128"/>
    </row>
    <row r="20" spans="1:10" x14ac:dyDescent="0.25">
      <c r="A20" s="83" t="s">
        <v>120</v>
      </c>
      <c r="B20" s="438" t="s">
        <v>197</v>
      </c>
      <c r="C20" s="438"/>
      <c r="D20" s="438"/>
    </row>
    <row r="21" spans="1:10" x14ac:dyDescent="0.25">
      <c r="B21" s="431" t="s">
        <v>242</v>
      </c>
      <c r="C21" s="431"/>
      <c r="D21" s="431"/>
      <c r="E21" s="431"/>
      <c r="F21" s="428" t="s">
        <v>2</v>
      </c>
      <c r="G21" s="534">
        <f>0.97</f>
        <v>0.97</v>
      </c>
      <c r="H21" s="535">
        <f>1.22</f>
        <v>1.22</v>
      </c>
    </row>
    <row r="22" spans="1:10" x14ac:dyDescent="0.25">
      <c r="B22" s="431"/>
      <c r="C22" s="431"/>
      <c r="D22" s="431"/>
      <c r="E22" s="431"/>
      <c r="F22" s="428"/>
      <c r="G22" s="534"/>
      <c r="H22" s="535"/>
    </row>
    <row r="23" spans="1:10" x14ac:dyDescent="0.25">
      <c r="F23" s="83" t="s">
        <v>2</v>
      </c>
      <c r="G23" s="121">
        <f>G21</f>
        <v>0.97</v>
      </c>
      <c r="H23" s="114">
        <f>H21</f>
        <v>1.22</v>
      </c>
      <c r="I23" s="530">
        <f>G18</f>
        <v>0.15429999999999999</v>
      </c>
      <c r="J23" s="530"/>
    </row>
    <row r="24" spans="1:10" x14ac:dyDescent="0.25">
      <c r="F24" s="83" t="s">
        <v>2</v>
      </c>
      <c r="G24" s="121">
        <f>G23</f>
        <v>0.97</v>
      </c>
      <c r="H24" s="114">
        <f>H23</f>
        <v>1.22</v>
      </c>
      <c r="I24" s="536">
        <f>ROUND((I23)^(0.5),3)</f>
        <v>0.39300000000000002</v>
      </c>
      <c r="J24" s="536"/>
    </row>
    <row r="25" spans="1:10" x14ac:dyDescent="0.25">
      <c r="F25" s="83" t="s">
        <v>2</v>
      </c>
      <c r="G25" s="122">
        <f>ROUND(G24*I24,3)</f>
        <v>0.38100000000000001</v>
      </c>
      <c r="H25" s="114">
        <f>H24*I24</f>
        <v>0.47946</v>
      </c>
    </row>
    <row r="26" spans="1:10" x14ac:dyDescent="0.25">
      <c r="B26" s="431" t="s">
        <v>253</v>
      </c>
      <c r="C26" s="431"/>
      <c r="D26" s="431"/>
      <c r="F26" s="83" t="s">
        <v>2</v>
      </c>
      <c r="G26" s="36">
        <f>(G25+H25)/2</f>
        <v>0.43023</v>
      </c>
      <c r="H26" s="83" t="s">
        <v>243</v>
      </c>
      <c r="I26" s="123">
        <f>0.45</f>
        <v>0.45</v>
      </c>
    </row>
    <row r="28" spans="1:10" x14ac:dyDescent="0.25">
      <c r="A28" s="83" t="s">
        <v>128</v>
      </c>
      <c r="B28" s="438" t="s">
        <v>129</v>
      </c>
      <c r="C28" s="438"/>
    </row>
    <row r="29" spans="1:10" x14ac:dyDescent="0.25">
      <c r="B29" s="88" t="s">
        <v>21</v>
      </c>
      <c r="C29" s="461" t="s">
        <v>58</v>
      </c>
      <c r="D29" s="461"/>
      <c r="E29" s="461"/>
      <c r="F29" s="461" t="s">
        <v>79</v>
      </c>
      <c r="G29" s="461"/>
    </row>
    <row r="30" spans="1:10" x14ac:dyDescent="0.25">
      <c r="B30" s="87">
        <v>1</v>
      </c>
      <c r="C30" s="440" t="s">
        <v>275</v>
      </c>
      <c r="D30" s="440"/>
      <c r="E30" s="440"/>
      <c r="F30" s="496">
        <f>I26</f>
        <v>0.45</v>
      </c>
      <c r="G30" s="440"/>
    </row>
  </sheetData>
  <mergeCells count="23">
    <mergeCell ref="B2:J2"/>
    <mergeCell ref="B6:J7"/>
    <mergeCell ref="B9:J10"/>
    <mergeCell ref="B12:J13"/>
    <mergeCell ref="B15:C15"/>
    <mergeCell ref="B4:J5"/>
    <mergeCell ref="B18:E18"/>
    <mergeCell ref="B28:C28"/>
    <mergeCell ref="H16:I16"/>
    <mergeCell ref="B16:E16"/>
    <mergeCell ref="B17:F17"/>
    <mergeCell ref="B20:D20"/>
    <mergeCell ref="B21:E22"/>
    <mergeCell ref="F21:F22"/>
    <mergeCell ref="G21:G22"/>
    <mergeCell ref="H21:H22"/>
    <mergeCell ref="C29:E29"/>
    <mergeCell ref="F29:G29"/>
    <mergeCell ref="C30:E30"/>
    <mergeCell ref="F30:G30"/>
    <mergeCell ref="I23:J23"/>
    <mergeCell ref="I24:J24"/>
    <mergeCell ref="B26:D26"/>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1265" r:id="rId4">
          <objectPr defaultSize="0" r:id="rId5">
            <anchor moveWithCells="1">
              <from>
                <xdr:col>8</xdr:col>
                <xdr:colOff>19050</xdr:colOff>
                <xdr:row>20</xdr:row>
                <xdr:rowOff>76200</xdr:rowOff>
              </from>
              <to>
                <xdr:col>8</xdr:col>
                <xdr:colOff>390525</xdr:colOff>
                <xdr:row>21</xdr:row>
                <xdr:rowOff>142875</xdr:rowOff>
              </to>
            </anchor>
          </objectPr>
        </oleObject>
      </mc:Choice>
      <mc:Fallback>
        <oleObject progId="Equation.3" shapeId="1126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W.Demand</vt:lpstr>
      <vt:lpstr>Water Standards</vt:lpstr>
      <vt:lpstr>Comparision &amp; Treatment</vt:lpstr>
      <vt:lpstr>Intake Design</vt:lpstr>
      <vt:lpstr>Pen Stock &amp; Bell Mouth</vt:lpstr>
      <vt:lpstr>Gravity Main</vt:lpstr>
      <vt:lpstr>Jack Well</vt:lpstr>
      <vt:lpstr>Pumping Sys.</vt:lpstr>
      <vt:lpstr>Rising Main</vt:lpstr>
      <vt:lpstr>Aeration Unit</vt:lpstr>
      <vt:lpstr>Alum Quantity</vt:lpstr>
      <vt:lpstr>Lime-Soda Process</vt:lpstr>
      <vt:lpstr>Rapid mix unit</vt:lpstr>
      <vt:lpstr>Clariflocculator</vt:lpstr>
      <vt:lpstr>Rapid gravity Filter</vt:lpstr>
      <vt:lpstr>Disinfection Unit</vt:lpstr>
      <vt:lpstr>'Aeration Unit'!Print_Area</vt:lpstr>
      <vt:lpstr>'Alum Quantity'!Print_Area</vt:lpstr>
      <vt:lpstr>Clariflocculator!Print_Area</vt:lpstr>
      <vt:lpstr>'Comparision &amp; Treatment'!Print_Area</vt:lpstr>
      <vt:lpstr>'Disinfection Unit'!Print_Area</vt:lpstr>
      <vt:lpstr>'Gravity Main'!Print_Area</vt:lpstr>
      <vt:lpstr>'Intake Design'!Print_Area</vt:lpstr>
      <vt:lpstr>'Jack Well'!Print_Area</vt:lpstr>
      <vt:lpstr>'Lime-Soda Process'!Print_Area</vt:lpstr>
      <vt:lpstr>'Pen Stock &amp; Bell Mouth'!Print_Area</vt:lpstr>
      <vt:lpstr>'Pumping Sys.'!Print_Area</vt:lpstr>
      <vt:lpstr>'Rapid gravity Filter'!Print_Area</vt:lpstr>
      <vt:lpstr>'Rising Main'!Print_Area</vt:lpstr>
      <vt:lpstr>W.Demand!Print_Area</vt:lpstr>
      <vt:lpstr>'Water Standards'!Print_Area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2012-09-21T10:31:07Z</dcterms:modified>
</cp:coreProperties>
</file>